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is Documentos\Cabinas de extracción\Licitación\Invitación 2019\Licitación\Evaluación\"/>
    </mc:Choice>
  </mc:AlternateContent>
  <bookViews>
    <workbookView xWindow="0" yWindow="0" windowWidth="28800" windowHeight="12345" tabRatio="943" activeTab="10"/>
  </bookViews>
  <sheets>
    <sheet name="1_ENTREGA" sheetId="2" r:id="rId1"/>
    <sheet name="2_APERTURA DE SOBRES" sheetId="35" r:id="rId2"/>
    <sheet name="4,1. REQUISITOS JURÍDICOS" sheetId="21" r:id="rId3"/>
    <sheet name="4.2.1 EXPERIENCIA GRAL" sheetId="36" r:id="rId4"/>
    <sheet name="4.3 CAP FINANCIERA" sheetId="37" r:id="rId5"/>
    <sheet name="PRESUPUESTO" sheetId="53" r:id="rId6"/>
    <sheet name="4.4 REQUISITOS COMERCIALES" sheetId="38" r:id="rId7"/>
    <sheet name="RESUMEN" sheetId="44" r:id="rId8"/>
    <sheet name="Cálculo Pt2" sheetId="28" r:id="rId9"/>
    <sheet name="10. EVALUACIÓN" sheetId="18" r:id="rId10"/>
    <sheet name="5_REQUISITOS TÉCNICOS" sheetId="55" r:id="rId11"/>
  </sheets>
  <externalReferences>
    <externalReference r:id="rId12"/>
    <externalReference r:id="rId13"/>
  </externalReferences>
  <definedNames>
    <definedName name="_Dist_Bin" hidden="1">[1]MPC3I4!$A$2040:$DD$3161</definedName>
    <definedName name="_Dist_Values" hidden="1">[1]MPC3I4!$A$2552:$IV$3906</definedName>
    <definedName name="_Fill" hidden="1">#REF!</definedName>
    <definedName name="_xlnm.Print_Area" localSheetId="0">'1_ENTREGA'!$A$1:$B$14</definedName>
    <definedName name="_xlnm.Print_Area" localSheetId="1">'2_APERTURA DE SOBRES'!$A$1:$I$12</definedName>
    <definedName name="B" hidden="1">#REF!</definedName>
    <definedName name="BANDERA">'4.2.1 EXPERIENCIA GRAL'!$AD$12:$AE$14</definedName>
    <definedName name="C_FINANCIERA">'4.3 CAP FINANCIERA'!$M$6:$O$8</definedName>
    <definedName name="CAB_1">'[2]CE-TIPO 1'!$C$30:$G$31</definedName>
    <definedName name="CAB_2">'[2]CE-TIPO 2'!$C$30:$G$31</definedName>
    <definedName name="CAB_3">'[2]CE-TIPO 3'!$C$30:$G$31</definedName>
    <definedName name="CAB_4">'[2]CE-TIPO 4'!$C$30:$G$31</definedName>
    <definedName name="CAB_5">'[2]CE-TIPO 5'!$C$30:$G$31</definedName>
    <definedName name="CD_1">PRESUPUESTO!$O$31</definedName>
    <definedName name="CD_2">PRESUPUESTO!$AE$31</definedName>
    <definedName name="CD_3">PRESUPUESTO!$AU$31</definedName>
    <definedName name="CFL">[2]CFL!$C$31:$G$32</definedName>
    <definedName name="COSTO_D">PRESUPUESTO!$F$41:$G$43</definedName>
    <definedName name="EST_EXP">PRESUPUESTO!$J$36:$BC$37</definedName>
    <definedName name="ESTATUS">RESUMEN!$A$5:$I$7</definedName>
    <definedName name="EXPERIENCIA">'4.2.1 EXPERIENCIA GRAL'!$W$12:$Z$14</definedName>
    <definedName name="ITEMS_REPRE">'Cálculo Pt2'!$B$14:$B$70</definedName>
    <definedName name="LISTA_OFERENTES">'1_ENTREGA'!$A$8:$B$10</definedName>
    <definedName name="OFERENTE_1">PRESUPUESTO!$J$12:$O$30</definedName>
    <definedName name="OFERENTE_2">PRESUPUESTO!$Z$12:$AE$30</definedName>
    <definedName name="OFERENTE_3">PRESUPUESTO!$AP$12:$AU$30</definedName>
    <definedName name="OFERTA_0">PRESUPUESTO!$B$12:$G$30</definedName>
    <definedName name="ORDEN">'10. EVALUACIÓN'!$Q$13:$R$15</definedName>
    <definedName name="PCR">[2]PCR!$C$30:$G$31</definedName>
    <definedName name="PRESUPUESTO">PRESUPUESTO!$B$41:$D$43</definedName>
    <definedName name="R_COMERCIALES">'4.4 REQUISITOS COMERCIALES'!$M$4:$O$6</definedName>
    <definedName name="R_TECNICOS">'5_REQUISITOS TÉCNICOS'!$C$3:$D$11</definedName>
    <definedName name="UNITARIO_1">PRESUPUESTO!$J$11:$N$30</definedName>
    <definedName name="UNITARIO_10">#REF!</definedName>
    <definedName name="UNITARIO_11">#REF!</definedName>
    <definedName name="UNITARIO_12">#REF!</definedName>
    <definedName name="UNITARIO_13">#REF!</definedName>
    <definedName name="UNITARIO_14">#REF!</definedName>
    <definedName name="UNITARIO_15">#REF!</definedName>
    <definedName name="UNITARIO_2">PRESUPUESTO!$Z$11:$AD$30</definedName>
    <definedName name="UNITARIO_3">PRESUPUESTO!$AP$11:$AT$30</definedName>
    <definedName name="UNITARIO_4">#REF!</definedName>
    <definedName name="UNITARIO_5">#REF!</definedName>
    <definedName name="UNITARIO_6">#REF!</definedName>
    <definedName name="UNITARIO_7">#REF!</definedName>
    <definedName name="UNITARIO_8">#REF!</definedName>
    <definedName name="UNITARIO_9">#REF!</definedName>
    <definedName name="wrn.GENERAL." hidden="1">{"TAB1",#N/A,TRUE,"GENERAL";"TAB2",#N/A,TRUE,"GENERAL";"TAB3",#N/A,TRUE,"GENERAL";"TAB4",#N/A,TRUE,"GENERAL";"TAB5",#N/A,TRUE,"GENERAL"}</definedName>
    <definedName name="wrn.items." localSheetId="9" hidden="1">{#N/A,#N/A,FALSE,"Items"}</definedName>
    <definedName name="wrn.items." localSheetId="2" hidden="1">{#N/A,#N/A,FALSE,"Items"}</definedName>
    <definedName name="wrn.items." hidden="1">{#N/A,#N/A,FALSE,"Items"}</definedName>
    <definedName name="wrn.via." hidden="1">{"via1",#N/A,TRUE,"general";"via2",#N/A,TRUE,"general";"via3",#N/A,TRUE,"general"}</definedName>
    <definedName name="wrn1.items" localSheetId="9" hidden="1">{#N/A,#N/A,FALSE,"Items"}</definedName>
    <definedName name="wrn1.items" localSheetId="2" hidden="1">{#N/A,#N/A,FALSE,"Items"}</definedName>
    <definedName name="wrn1.items" hidden="1">{#N/A,#N/A,FALSE,"Items"}</definedName>
    <definedName name="yuf" hidden="1">{"TAB1",#N/A,TRUE,"GENERAL";"TAB2",#N/A,TRUE,"GENERAL";"TAB3",#N/A,TRUE,"GENERAL";"TAB4",#N/A,TRUE,"GENERAL";"TAB5",#N/A,TRUE,"GENERAL"}</definedName>
    <definedName name="Z_0DF4D8E0_70F8_43CF_A6D4_A84D04F4D812_.wvu.Cols" localSheetId="0" hidden="1">'1_ENTREGA'!#REF!</definedName>
    <definedName name="Z_0DF4D8E0_70F8_43CF_A6D4_A84D04F4D812_.wvu.PrintArea" localSheetId="0" hidden="1">'1_ENTREGA'!$A$1:$B$9</definedName>
    <definedName name="Z_0DF4D8E0_70F8_43CF_A6D4_A84D04F4D812_.wvu.Rows" localSheetId="0" hidden="1">'1_ENTREGA'!#REF!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44" l="1"/>
  <c r="H7" i="44" l="1"/>
  <c r="B11" i="55"/>
  <c r="S37" i="53"/>
  <c r="H6" i="44" l="1"/>
  <c r="D11" i="55"/>
  <c r="C11" i="55"/>
  <c r="I84" i="28" l="1"/>
  <c r="I85" i="28"/>
  <c r="I86" i="28"/>
  <c r="I87" i="28"/>
  <c r="I88" i="28"/>
  <c r="I89" i="28"/>
  <c r="I90" i="28"/>
  <c r="I91" i="28"/>
  <c r="I92" i="28"/>
  <c r="I93" i="28"/>
  <c r="I94" i="28"/>
  <c r="I95" i="28"/>
  <c r="I96" i="28"/>
  <c r="I97" i="28"/>
  <c r="I98" i="28"/>
  <c r="I99" i="28"/>
  <c r="I100" i="28"/>
  <c r="I101" i="28"/>
  <c r="I102" i="28"/>
  <c r="I103" i="28"/>
  <c r="I104" i="28"/>
  <c r="I105" i="28"/>
  <c r="I106" i="28"/>
  <c r="I107" i="28"/>
  <c r="I108" i="28"/>
  <c r="I109" i="28"/>
  <c r="I110" i="28"/>
  <c r="I111" i="28"/>
  <c r="I112" i="28"/>
  <c r="I113" i="28"/>
  <c r="I114" i="28"/>
  <c r="I115" i="28"/>
  <c r="I116" i="28"/>
  <c r="I117" i="28"/>
  <c r="I118" i="28"/>
  <c r="I119" i="28"/>
  <c r="I120" i="28"/>
  <c r="I121" i="28"/>
  <c r="I122" i="28"/>
  <c r="I123" i="28"/>
  <c r="I124" i="28"/>
  <c r="I125" i="28"/>
  <c r="I126" i="28"/>
  <c r="I127" i="28"/>
  <c r="I128" i="28"/>
  <c r="I129" i="28"/>
  <c r="I130" i="28"/>
  <c r="I131" i="28"/>
  <c r="I132" i="28"/>
  <c r="I133" i="28"/>
  <c r="I134" i="28"/>
  <c r="I135" i="28"/>
  <c r="I136" i="28"/>
  <c r="I137" i="28"/>
  <c r="I138" i="28"/>
  <c r="I139" i="28"/>
  <c r="I140" i="28"/>
  <c r="I141" i="28"/>
  <c r="I142" i="28"/>
  <c r="I143" i="28"/>
  <c r="I144" i="28"/>
  <c r="I145" i="28"/>
  <c r="I146" i="28"/>
  <c r="I147" i="28"/>
  <c r="I148" i="28"/>
  <c r="I149" i="28"/>
  <c r="I150" i="28"/>
  <c r="I151" i="28"/>
  <c r="I152" i="28"/>
  <c r="I153" i="28"/>
  <c r="I154" i="28"/>
  <c r="I155" i="28"/>
  <c r="I156" i="28"/>
  <c r="I157" i="28"/>
  <c r="I158" i="28"/>
  <c r="I159" i="28"/>
  <c r="I160" i="28"/>
  <c r="I161" i="28"/>
  <c r="I162" i="28"/>
  <c r="G84" i="28"/>
  <c r="G85" i="28"/>
  <c r="G86" i="28"/>
  <c r="G87" i="28"/>
  <c r="G88" i="28"/>
  <c r="G89" i="28"/>
  <c r="G90" i="28"/>
  <c r="G91" i="28"/>
  <c r="G92" i="28"/>
  <c r="G93" i="28"/>
  <c r="G94" i="28"/>
  <c r="G95" i="28"/>
  <c r="G96" i="28"/>
  <c r="G97" i="28"/>
  <c r="G98" i="28"/>
  <c r="G99" i="28"/>
  <c r="G100" i="28"/>
  <c r="G101" i="28"/>
  <c r="G102" i="28"/>
  <c r="G103" i="28"/>
  <c r="G104" i="28"/>
  <c r="G105" i="28"/>
  <c r="G106" i="28"/>
  <c r="G107" i="28"/>
  <c r="G108" i="28"/>
  <c r="G109" i="28"/>
  <c r="G110" i="28"/>
  <c r="G111" i="28"/>
  <c r="G112" i="28"/>
  <c r="G113" i="28"/>
  <c r="G114" i="28"/>
  <c r="G115" i="28"/>
  <c r="G116" i="28"/>
  <c r="G117" i="28"/>
  <c r="G118" i="28"/>
  <c r="G119" i="28"/>
  <c r="G120" i="28"/>
  <c r="G121" i="28"/>
  <c r="G122" i="28"/>
  <c r="G123" i="28"/>
  <c r="G124" i="28"/>
  <c r="G125" i="28"/>
  <c r="G126" i="28"/>
  <c r="G127" i="28"/>
  <c r="G128" i="28"/>
  <c r="G129" i="28"/>
  <c r="G130" i="28"/>
  <c r="G131" i="28"/>
  <c r="G132" i="28"/>
  <c r="G133" i="28"/>
  <c r="G134" i="28"/>
  <c r="G135" i="28"/>
  <c r="G136" i="28"/>
  <c r="G137" i="28"/>
  <c r="G138" i="28"/>
  <c r="G139" i="28"/>
  <c r="G140" i="28"/>
  <c r="G141" i="28"/>
  <c r="G142" i="28"/>
  <c r="G143" i="28"/>
  <c r="G144" i="28"/>
  <c r="G145" i="28"/>
  <c r="G146" i="28"/>
  <c r="G147" i="28"/>
  <c r="G148" i="28"/>
  <c r="G149" i="28"/>
  <c r="G150" i="28"/>
  <c r="G151" i="28"/>
  <c r="G152" i="28"/>
  <c r="G153" i="28"/>
  <c r="G154" i="28"/>
  <c r="G155" i="28"/>
  <c r="G156" i="28"/>
  <c r="G157" i="28"/>
  <c r="G158" i="28"/>
  <c r="G159" i="28"/>
  <c r="G160" i="28"/>
  <c r="G161" i="28"/>
  <c r="G162" i="28"/>
  <c r="E84" i="28"/>
  <c r="E85" i="28"/>
  <c r="E86" i="28"/>
  <c r="E87" i="28"/>
  <c r="E88" i="28"/>
  <c r="E89" i="28"/>
  <c r="E90" i="28"/>
  <c r="E91" i="28"/>
  <c r="E92" i="28"/>
  <c r="E93" i="28"/>
  <c r="E94" i="28"/>
  <c r="E95" i="28"/>
  <c r="E96" i="28"/>
  <c r="E97" i="28"/>
  <c r="E98" i="28"/>
  <c r="E99" i="28"/>
  <c r="E100" i="28"/>
  <c r="E101" i="28"/>
  <c r="E102" i="28"/>
  <c r="E103" i="28"/>
  <c r="E104" i="28"/>
  <c r="E105" i="28"/>
  <c r="E106" i="28"/>
  <c r="E107" i="28"/>
  <c r="E108" i="28"/>
  <c r="E109" i="28"/>
  <c r="E110" i="28"/>
  <c r="E111" i="28"/>
  <c r="E112" i="28"/>
  <c r="E113" i="28"/>
  <c r="E114" i="28"/>
  <c r="E115" i="28"/>
  <c r="E116" i="28"/>
  <c r="E117" i="28"/>
  <c r="E118" i="28"/>
  <c r="E119" i="28"/>
  <c r="E120" i="28"/>
  <c r="E121" i="28"/>
  <c r="E122" i="28"/>
  <c r="E123" i="28"/>
  <c r="E124" i="28"/>
  <c r="E125" i="28"/>
  <c r="E126" i="28"/>
  <c r="E127" i="28"/>
  <c r="E128" i="28"/>
  <c r="E129" i="28"/>
  <c r="E130" i="28"/>
  <c r="E131" i="28"/>
  <c r="E132" i="28"/>
  <c r="E133" i="28"/>
  <c r="E134" i="28"/>
  <c r="E135" i="28"/>
  <c r="E136" i="28"/>
  <c r="E137" i="28"/>
  <c r="E138" i="28"/>
  <c r="E139" i="28"/>
  <c r="E140" i="28"/>
  <c r="E141" i="28"/>
  <c r="E142" i="28"/>
  <c r="E143" i="28"/>
  <c r="E144" i="28"/>
  <c r="E145" i="28"/>
  <c r="E146" i="28"/>
  <c r="E147" i="28"/>
  <c r="E148" i="28"/>
  <c r="E149" i="28"/>
  <c r="E150" i="28"/>
  <c r="E151" i="28"/>
  <c r="E152" i="28"/>
  <c r="E153" i="28"/>
  <c r="E154" i="28"/>
  <c r="E155" i="28"/>
  <c r="E156" i="28"/>
  <c r="E157" i="28"/>
  <c r="E158" i="28"/>
  <c r="E159" i="28"/>
  <c r="E160" i="28"/>
  <c r="E161" i="28"/>
  <c r="E162"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109" i="28"/>
  <c r="C110" i="28"/>
  <c r="C111" i="28"/>
  <c r="C112" i="28"/>
  <c r="C113" i="28"/>
  <c r="C114" i="28"/>
  <c r="C115" i="28"/>
  <c r="C116" i="28"/>
  <c r="C117" i="28"/>
  <c r="C118" i="28"/>
  <c r="C119" i="28"/>
  <c r="C120" i="28"/>
  <c r="C121" i="28"/>
  <c r="C122" i="28"/>
  <c r="C123" i="28"/>
  <c r="C124" i="28"/>
  <c r="C125" i="28"/>
  <c r="C126" i="28"/>
  <c r="C127" i="28"/>
  <c r="C128" i="28"/>
  <c r="C129" i="28"/>
  <c r="C130" i="28"/>
  <c r="C131" i="28"/>
  <c r="C132" i="28"/>
  <c r="C133" i="28"/>
  <c r="C134" i="28"/>
  <c r="C135" i="28"/>
  <c r="C136" i="28"/>
  <c r="C137" i="28"/>
  <c r="C138" i="28"/>
  <c r="C139" i="28"/>
  <c r="C140" i="28"/>
  <c r="C141" i="28"/>
  <c r="C142" i="28"/>
  <c r="C143" i="28"/>
  <c r="C144" i="28"/>
  <c r="C145" i="28"/>
  <c r="C146" i="28"/>
  <c r="C147" i="28"/>
  <c r="C148" i="28"/>
  <c r="C149" i="28"/>
  <c r="C150" i="28"/>
  <c r="C151" i="28"/>
  <c r="C152" i="28"/>
  <c r="C153" i="28"/>
  <c r="C154" i="28"/>
  <c r="C155" i="28"/>
  <c r="C156" i="28"/>
  <c r="C157" i="28"/>
  <c r="C158" i="28"/>
  <c r="C159" i="28"/>
  <c r="C160" i="28"/>
  <c r="C161" i="28"/>
  <c r="C162" i="28"/>
  <c r="O6" i="38"/>
  <c r="O5" i="38"/>
  <c r="O4" i="38"/>
  <c r="H43" i="53" l="1"/>
  <c r="H42" i="53"/>
  <c r="I41" i="53"/>
  <c r="H41" i="53" s="1"/>
  <c r="AY30" i="53"/>
  <c r="AX30" i="53"/>
  <c r="AW30" i="53"/>
  <c r="AV30" i="53"/>
  <c r="AY29" i="53"/>
  <c r="AX29" i="53"/>
  <c r="AW29" i="53"/>
  <c r="AV29" i="53"/>
  <c r="AY28" i="53"/>
  <c r="AX28" i="53"/>
  <c r="AW28" i="53"/>
  <c r="AV28" i="53"/>
  <c r="AY27" i="53"/>
  <c r="AX27" i="53"/>
  <c r="AW27" i="53"/>
  <c r="AV27" i="53"/>
  <c r="AY26" i="53"/>
  <c r="AX26" i="53"/>
  <c r="AW26" i="53"/>
  <c r="AV26" i="53"/>
  <c r="AX25" i="53"/>
  <c r="AW25" i="53"/>
  <c r="AV25" i="53"/>
  <c r="AY24" i="53"/>
  <c r="AX24" i="53"/>
  <c r="AW24" i="53"/>
  <c r="AV24" i="53"/>
  <c r="AY23" i="53"/>
  <c r="AX23" i="53"/>
  <c r="AW23" i="53"/>
  <c r="AV23" i="53"/>
  <c r="AX22" i="53"/>
  <c r="AW22" i="53"/>
  <c r="AV22" i="53"/>
  <c r="AY21" i="53"/>
  <c r="AX21" i="53"/>
  <c r="AW21" i="53"/>
  <c r="AV21" i="53"/>
  <c r="AX20" i="53"/>
  <c r="AW20" i="53"/>
  <c r="AV20" i="53"/>
  <c r="AY19" i="53"/>
  <c r="AX19" i="53"/>
  <c r="AW19" i="53"/>
  <c r="AV19" i="53"/>
  <c r="AY18" i="53"/>
  <c r="AX18" i="53"/>
  <c r="AW18" i="53"/>
  <c r="AV18" i="53"/>
  <c r="AX17" i="53"/>
  <c r="AW17" i="53"/>
  <c r="AV17" i="53"/>
  <c r="AY16" i="53"/>
  <c r="AX16" i="53"/>
  <c r="AW16" i="53"/>
  <c r="AV16" i="53"/>
  <c r="AY15" i="53"/>
  <c r="AX15" i="53"/>
  <c r="AW15" i="53"/>
  <c r="AV15" i="53"/>
  <c r="AY14" i="53"/>
  <c r="AX14" i="53"/>
  <c r="AW14" i="53"/>
  <c r="AV14" i="53"/>
  <c r="AY13" i="53"/>
  <c r="AX13" i="53"/>
  <c r="AW13" i="53"/>
  <c r="AV13" i="53"/>
  <c r="AY12" i="53"/>
  <c r="AX12" i="53"/>
  <c r="AW12" i="53"/>
  <c r="AV12" i="53"/>
  <c r="AI30" i="53"/>
  <c r="AH30" i="53"/>
  <c r="AG30" i="53"/>
  <c r="AF30" i="53"/>
  <c r="AI29" i="53"/>
  <c r="AH29" i="53"/>
  <c r="AG29" i="53"/>
  <c r="AF29" i="53"/>
  <c r="AI28" i="53"/>
  <c r="AH28" i="53"/>
  <c r="AG28" i="53"/>
  <c r="AF28" i="53"/>
  <c r="AI27" i="53"/>
  <c r="AH27" i="53"/>
  <c r="AG27" i="53"/>
  <c r="AF27" i="53"/>
  <c r="AI26" i="53"/>
  <c r="AH26" i="53"/>
  <c r="AG26" i="53"/>
  <c r="AF26" i="53"/>
  <c r="AH25" i="53"/>
  <c r="AG25" i="53"/>
  <c r="AF25" i="53"/>
  <c r="AI24" i="53"/>
  <c r="AH24" i="53"/>
  <c r="AG24" i="53"/>
  <c r="AF24" i="53"/>
  <c r="AI23" i="53"/>
  <c r="AH23" i="53"/>
  <c r="AG23" i="53"/>
  <c r="AF23" i="53"/>
  <c r="AH22" i="53"/>
  <c r="AG22" i="53"/>
  <c r="AF22" i="53"/>
  <c r="AI21" i="53"/>
  <c r="AH21" i="53"/>
  <c r="AG21" i="53"/>
  <c r="AF21" i="53"/>
  <c r="AH20" i="53"/>
  <c r="AG20" i="53"/>
  <c r="AF20" i="53"/>
  <c r="AI19" i="53"/>
  <c r="AH19" i="53"/>
  <c r="AG19" i="53"/>
  <c r="AF19" i="53"/>
  <c r="AI18" i="53"/>
  <c r="AH18" i="53"/>
  <c r="AG18" i="53"/>
  <c r="AF18" i="53"/>
  <c r="AH17" i="53"/>
  <c r="AG17" i="53"/>
  <c r="AF17" i="53"/>
  <c r="AI16" i="53"/>
  <c r="AH16" i="53"/>
  <c r="AG16" i="53"/>
  <c r="AF16" i="53"/>
  <c r="AI15" i="53"/>
  <c r="AH15" i="53"/>
  <c r="AG15" i="53"/>
  <c r="AF15" i="53"/>
  <c r="AI14" i="53"/>
  <c r="AH14" i="53"/>
  <c r="AG14" i="53"/>
  <c r="AF14" i="53"/>
  <c r="AI13" i="53"/>
  <c r="AH13" i="53"/>
  <c r="AG13" i="53"/>
  <c r="AF13" i="53"/>
  <c r="AI12" i="53"/>
  <c r="AH12" i="53"/>
  <c r="AG12" i="53"/>
  <c r="AF12" i="53"/>
  <c r="R20" i="53"/>
  <c r="P25" i="53"/>
  <c r="R30" i="53"/>
  <c r="P22" i="53"/>
  <c r="G41" i="53"/>
  <c r="P15" i="53" l="1"/>
  <c r="P13" i="53"/>
  <c r="P14" i="53"/>
  <c r="P16" i="53"/>
  <c r="P17" i="53"/>
  <c r="P18" i="53"/>
  <c r="P19" i="53"/>
  <c r="P20" i="53"/>
  <c r="P21" i="53"/>
  <c r="P23" i="53"/>
  <c r="P24" i="53"/>
  <c r="P26" i="53"/>
  <c r="P27" i="53"/>
  <c r="P28" i="53"/>
  <c r="P29" i="53"/>
  <c r="P30" i="53"/>
  <c r="P12" i="53"/>
  <c r="AH14" i="36" l="1"/>
  <c r="AH13" i="36"/>
  <c r="S48" i="36"/>
  <c r="S29" i="36"/>
  <c r="S10" i="36"/>
  <c r="AE30" i="53" l="1"/>
  <c r="AE29" i="53"/>
  <c r="AE28" i="53"/>
  <c r="AE27" i="53"/>
  <c r="AE26" i="53"/>
  <c r="AE24" i="53"/>
  <c r="AE23" i="53"/>
  <c r="AJ27" i="53" l="1"/>
  <c r="AK27" i="53" s="1"/>
  <c r="AL27" i="53"/>
  <c r="AM27" i="53" s="1"/>
  <c r="AE22" i="53"/>
  <c r="AL23" i="53"/>
  <c r="AM23" i="53" s="1"/>
  <c r="AJ23" i="53"/>
  <c r="AK23" i="53" s="1"/>
  <c r="AL28" i="53"/>
  <c r="AM28" i="53" s="1"/>
  <c r="AJ28" i="53"/>
  <c r="AK28" i="53" s="1"/>
  <c r="AL24" i="53"/>
  <c r="AM24" i="53" s="1"/>
  <c r="AJ24" i="53"/>
  <c r="AK24" i="53" s="1"/>
  <c r="AJ29" i="53"/>
  <c r="AK29" i="53" s="1"/>
  <c r="AL29" i="53"/>
  <c r="AM29" i="53" s="1"/>
  <c r="AL26" i="53"/>
  <c r="AM26" i="53" s="1"/>
  <c r="AJ26" i="53"/>
  <c r="AK26" i="53" s="1"/>
  <c r="AL30" i="53"/>
  <c r="AM30" i="53" s="1"/>
  <c r="AJ30" i="53"/>
  <c r="AK30" i="53" s="1"/>
  <c r="AE25" i="53"/>
  <c r="O30" i="53"/>
  <c r="O29" i="53"/>
  <c r="O28" i="53"/>
  <c r="O27" i="53"/>
  <c r="O26" i="53"/>
  <c r="O24" i="53"/>
  <c r="O23" i="53"/>
  <c r="O22" i="53" s="1"/>
  <c r="AU30" i="53"/>
  <c r="AU29" i="53"/>
  <c r="AU28" i="53"/>
  <c r="AU27" i="53"/>
  <c r="AU26" i="53"/>
  <c r="AU24" i="53"/>
  <c r="AU23" i="53"/>
  <c r="AU21" i="53"/>
  <c r="AU19" i="53"/>
  <c r="AU18" i="53"/>
  <c r="AU16" i="53"/>
  <c r="AU15" i="53"/>
  <c r="AU14" i="53"/>
  <c r="AU13" i="53"/>
  <c r="AU12" i="53"/>
  <c r="BB14" i="53" l="1"/>
  <c r="BC14" i="53" s="1"/>
  <c r="AZ14" i="53"/>
  <c r="BA14" i="53" s="1"/>
  <c r="BB30" i="53"/>
  <c r="BC30" i="53" s="1"/>
  <c r="AZ30" i="53"/>
  <c r="BA30" i="53" s="1"/>
  <c r="BB27" i="53"/>
  <c r="BC27" i="53" s="1"/>
  <c r="AZ27" i="53"/>
  <c r="BA27" i="53" s="1"/>
  <c r="BB26" i="53"/>
  <c r="AZ26" i="53"/>
  <c r="BA26" i="53" s="1"/>
  <c r="BC26" i="53"/>
  <c r="AZ15" i="53"/>
  <c r="BA15" i="53" s="1"/>
  <c r="BB15" i="53"/>
  <c r="BC15" i="53" s="1"/>
  <c r="BB16" i="53"/>
  <c r="BC16" i="53" s="1"/>
  <c r="AZ16" i="53"/>
  <c r="BA16" i="53" s="1"/>
  <c r="BB28" i="53"/>
  <c r="BC28" i="53" s="1"/>
  <c r="AZ28" i="53"/>
  <c r="BA28" i="53" s="1"/>
  <c r="BB19" i="53"/>
  <c r="BC19" i="53" s="1"/>
  <c r="AZ19" i="53"/>
  <c r="BA19" i="53" s="1"/>
  <c r="AU20" i="53"/>
  <c r="BB21" i="53"/>
  <c r="BC21" i="53" s="1"/>
  <c r="AZ21" i="53"/>
  <c r="BA21" i="53" s="1"/>
  <c r="BB12" i="53"/>
  <c r="BC12" i="53" s="1"/>
  <c r="AZ12" i="53"/>
  <c r="BA12" i="53" s="1"/>
  <c r="BB23" i="53"/>
  <c r="BC23" i="53" s="1"/>
  <c r="AZ23" i="53"/>
  <c r="BA23" i="53" s="1"/>
  <c r="BC13" i="53"/>
  <c r="BB13" i="53"/>
  <c r="AZ13" i="53"/>
  <c r="BA13" i="53" s="1"/>
  <c r="BB18" i="53"/>
  <c r="BC18" i="53" s="1"/>
  <c r="AZ18" i="53"/>
  <c r="BA18" i="53" s="1"/>
  <c r="BB24" i="53"/>
  <c r="BC24" i="53" s="1"/>
  <c r="AZ24" i="53"/>
  <c r="BA24" i="53" s="1"/>
  <c r="AZ29" i="53"/>
  <c r="BA29" i="53" s="1"/>
  <c r="BC29" i="53"/>
  <c r="BB29" i="53"/>
  <c r="AL22" i="53"/>
  <c r="AM22" i="53" s="1"/>
  <c r="AJ22" i="53"/>
  <c r="AK22" i="53" s="1"/>
  <c r="AJ25" i="53"/>
  <c r="AK25" i="53" s="1"/>
  <c r="AL25" i="53"/>
  <c r="AM25" i="53" s="1"/>
  <c r="O25" i="53"/>
  <c r="AU22" i="53"/>
  <c r="AU25" i="53"/>
  <c r="AU11" i="53"/>
  <c r="AU17" i="53"/>
  <c r="BB20" i="53" l="1"/>
  <c r="BC20" i="53" s="1"/>
  <c r="AZ20" i="53"/>
  <c r="BA20" i="53" s="1"/>
  <c r="BB17" i="53"/>
  <c r="BC17" i="53" s="1"/>
  <c r="AZ17" i="53"/>
  <c r="BA17" i="53" s="1"/>
  <c r="BB22" i="53"/>
  <c r="BC22" i="53" s="1"/>
  <c r="AZ22" i="53"/>
  <c r="BA22" i="53" s="1"/>
  <c r="AU31" i="53"/>
  <c r="AY37" i="53" s="1"/>
  <c r="AZ25" i="53"/>
  <c r="BA25" i="53" s="1"/>
  <c r="BB25" i="53"/>
  <c r="BC25" i="53" s="1"/>
  <c r="AU32" i="53"/>
  <c r="AU33" i="53" s="1"/>
  <c r="AE21" i="53"/>
  <c r="AE19" i="53"/>
  <c r="AE18" i="53"/>
  <c r="AE16" i="53"/>
  <c r="AE15" i="53"/>
  <c r="AE14" i="53"/>
  <c r="AE13" i="53"/>
  <c r="AE12" i="53"/>
  <c r="BC31" i="53" l="1"/>
  <c r="BC32" i="53" s="1"/>
  <c r="BC37" i="53" s="1"/>
  <c r="BA37" i="53"/>
  <c r="AE17" i="53"/>
  <c r="AL18" i="53"/>
  <c r="AM18" i="53" s="1"/>
  <c r="AJ18" i="53"/>
  <c r="AK18" i="53" s="1"/>
  <c r="AJ14" i="53"/>
  <c r="AK14" i="53" s="1"/>
  <c r="AL14" i="53"/>
  <c r="AM14" i="53" s="1"/>
  <c r="AJ19" i="53"/>
  <c r="AK19" i="53" s="1"/>
  <c r="AL19" i="53"/>
  <c r="AM19" i="53" s="1"/>
  <c r="AL15" i="53"/>
  <c r="AM15" i="53" s="1"/>
  <c r="AJ15" i="53"/>
  <c r="AK15" i="53" s="1"/>
  <c r="AE20" i="53"/>
  <c r="AJ21" i="53"/>
  <c r="AK21" i="53" s="1"/>
  <c r="AL21" i="53"/>
  <c r="AM21" i="53" s="1"/>
  <c r="AL13" i="53"/>
  <c r="AM13" i="53" s="1"/>
  <c r="AJ13" i="53"/>
  <c r="AK13" i="53" s="1"/>
  <c r="AE11" i="53"/>
  <c r="AJ12" i="53"/>
  <c r="AK12" i="53" s="1"/>
  <c r="AL12" i="53"/>
  <c r="AM12" i="53" s="1"/>
  <c r="AJ16" i="53"/>
  <c r="AK16" i="53" s="1"/>
  <c r="AL16" i="53"/>
  <c r="AM16" i="53" s="1"/>
  <c r="O21" i="53"/>
  <c r="O20" i="53" s="1"/>
  <c r="O19" i="53"/>
  <c r="O18" i="53"/>
  <c r="O17" i="53" s="1"/>
  <c r="T17" i="53" s="1"/>
  <c r="O16" i="53"/>
  <c r="O15" i="53"/>
  <c r="O14" i="53"/>
  <c r="O13" i="53"/>
  <c r="O12" i="53"/>
  <c r="AE31" i="53" l="1"/>
  <c r="AE32" i="53" s="1"/>
  <c r="AE33" i="53" s="1"/>
  <c r="AP37" i="53"/>
  <c r="AI37" i="53"/>
  <c r="AL20" i="53"/>
  <c r="AM20" i="53" s="1"/>
  <c r="AJ20" i="53"/>
  <c r="AK20" i="53" s="1"/>
  <c r="AJ17" i="53"/>
  <c r="AK17" i="53" s="1"/>
  <c r="AK37" i="53" s="1"/>
  <c r="AL17" i="53"/>
  <c r="AM17" i="53" s="1"/>
  <c r="O11" i="53"/>
  <c r="O31" i="53" s="1"/>
  <c r="V12" i="53"/>
  <c r="W12" i="53" s="1"/>
  <c r="V17" i="53"/>
  <c r="W17" i="53" s="1"/>
  <c r="G12" i="53"/>
  <c r="Q12" i="53"/>
  <c r="R12" i="53"/>
  <c r="S12" i="53"/>
  <c r="T12" i="53"/>
  <c r="G13" i="53"/>
  <c r="Q13" i="53"/>
  <c r="R13" i="53"/>
  <c r="S13" i="53"/>
  <c r="T13" i="53"/>
  <c r="V13" i="53"/>
  <c r="W13" i="53" s="1"/>
  <c r="G14" i="53"/>
  <c r="Q14" i="53"/>
  <c r="R14" i="53"/>
  <c r="S14" i="53"/>
  <c r="T14" i="53"/>
  <c r="V14" i="53"/>
  <c r="W14" i="53" s="1"/>
  <c r="G15" i="53"/>
  <c r="Q15" i="53"/>
  <c r="R15" i="53"/>
  <c r="S15" i="53"/>
  <c r="T15" i="53"/>
  <c r="V15" i="53"/>
  <c r="W15" i="53" s="1"/>
  <c r="G16" i="53"/>
  <c r="Q16" i="53"/>
  <c r="R16" i="53"/>
  <c r="S16" i="53"/>
  <c r="T16" i="53"/>
  <c r="V16" i="53"/>
  <c r="W16" i="53" s="1"/>
  <c r="Q17" i="53"/>
  <c r="R17" i="53"/>
  <c r="G18" i="53"/>
  <c r="Q18" i="53"/>
  <c r="R18" i="53"/>
  <c r="S18" i="53"/>
  <c r="T18" i="53"/>
  <c r="V18" i="53"/>
  <c r="W18" i="53" s="1"/>
  <c r="G19" i="53"/>
  <c r="Q19" i="53"/>
  <c r="R19" i="53"/>
  <c r="S19" i="53"/>
  <c r="T19" i="53"/>
  <c r="V19" i="53"/>
  <c r="W19" i="53" s="1"/>
  <c r="Q20" i="53"/>
  <c r="T20" i="53"/>
  <c r="V20" i="53"/>
  <c r="W20" i="53" s="1"/>
  <c r="G21" i="53"/>
  <c r="G20" i="53" s="1"/>
  <c r="Q21" i="53"/>
  <c r="R21" i="53"/>
  <c r="S21" i="53"/>
  <c r="T21" i="53"/>
  <c r="V21" i="53"/>
  <c r="W21" i="53" s="1"/>
  <c r="Q22" i="53"/>
  <c r="R22" i="53"/>
  <c r="T22" i="53"/>
  <c r="V22" i="53"/>
  <c r="W22" i="53" s="1"/>
  <c r="G23" i="53"/>
  <c r="Q23" i="53"/>
  <c r="R23" i="53"/>
  <c r="S23" i="53"/>
  <c r="T23" i="53"/>
  <c r="V23" i="53"/>
  <c r="W23" i="53" s="1"/>
  <c r="G24" i="53"/>
  <c r="Q24" i="53"/>
  <c r="R24" i="53"/>
  <c r="S24" i="53"/>
  <c r="T24" i="53"/>
  <c r="V24" i="53"/>
  <c r="W24" i="53" s="1"/>
  <c r="Q25" i="53"/>
  <c r="R25" i="53"/>
  <c r="T25" i="53"/>
  <c r="V25" i="53"/>
  <c r="W25" i="53" s="1"/>
  <c r="G26" i="53"/>
  <c r="Q26" i="53"/>
  <c r="R26" i="53"/>
  <c r="S26" i="53"/>
  <c r="T26" i="53"/>
  <c r="V26" i="53"/>
  <c r="W26" i="53" s="1"/>
  <c r="G27" i="53"/>
  <c r="Q27" i="53"/>
  <c r="R27" i="53"/>
  <c r="S27" i="53"/>
  <c r="T27" i="53"/>
  <c r="V27" i="53"/>
  <c r="W27" i="53" s="1"/>
  <c r="G28" i="53"/>
  <c r="Q28" i="53"/>
  <c r="R28" i="53"/>
  <c r="S28" i="53"/>
  <c r="T28" i="53"/>
  <c r="V28" i="53"/>
  <c r="W28" i="53" s="1"/>
  <c r="G29" i="53"/>
  <c r="Q29" i="53"/>
  <c r="R29" i="53"/>
  <c r="S29" i="53"/>
  <c r="T29" i="53"/>
  <c r="V29" i="53"/>
  <c r="W29" i="53" s="1"/>
  <c r="G30" i="53"/>
  <c r="Q30" i="53"/>
  <c r="S30" i="53"/>
  <c r="T30" i="53"/>
  <c r="V30" i="53"/>
  <c r="W30" i="53" s="1"/>
  <c r="AM31" i="53" l="1"/>
  <c r="AM32" i="53" s="1"/>
  <c r="AM37" i="53" s="1"/>
  <c r="Z37" i="53" s="1"/>
  <c r="U23" i="53"/>
  <c r="U17" i="53"/>
  <c r="O32" i="53"/>
  <c r="O33" i="53" s="1"/>
  <c r="W31" i="53"/>
  <c r="W32" i="53" s="1"/>
  <c r="W37" i="53" s="1"/>
  <c r="U27" i="53"/>
  <c r="U30" i="53"/>
  <c r="U29" i="53"/>
  <c r="U37" i="53" s="1"/>
  <c r="U28" i="53"/>
  <c r="U26" i="53"/>
  <c r="U25" i="53"/>
  <c r="G22" i="53"/>
  <c r="G11" i="53"/>
  <c r="G25" i="53"/>
  <c r="G17" i="53"/>
  <c r="U16" i="53"/>
  <c r="U22" i="53"/>
  <c r="U20" i="53"/>
  <c r="U13" i="53"/>
  <c r="U21" i="53"/>
  <c r="U12" i="53"/>
  <c r="U24" i="53"/>
  <c r="U19" i="53"/>
  <c r="U18" i="53"/>
  <c r="U14" i="53"/>
  <c r="U15" i="53"/>
  <c r="J37" i="53" l="1"/>
  <c r="D41" i="53" s="1"/>
  <c r="G31" i="53"/>
  <c r="H5" i="28"/>
  <c r="F5" i="28"/>
  <c r="S60" i="36"/>
  <c r="S57" i="36"/>
  <c r="G32" i="53" l="1"/>
  <c r="G33" i="53" s="1"/>
  <c r="S54" i="36"/>
  <c r="T30" i="36"/>
  <c r="T49" i="36" l="1"/>
  <c r="AS8" i="53" l="1"/>
  <c r="AC8" i="53"/>
  <c r="M8" i="53"/>
  <c r="E8" i="53"/>
  <c r="C43" i="53" l="1"/>
  <c r="C42" i="53"/>
  <c r="C41" i="53"/>
  <c r="I42" i="53" l="1"/>
  <c r="I43" i="53" l="1"/>
  <c r="AR2" i="53"/>
  <c r="AP36" i="53" s="1"/>
  <c r="AB2" i="53"/>
  <c r="Z36" i="53" s="1"/>
  <c r="L2" i="53"/>
  <c r="J36" i="53" s="1"/>
  <c r="G43" i="53"/>
  <c r="X12" i="36" l="1"/>
  <c r="AD12" i="36" s="1"/>
  <c r="S51" i="36"/>
  <c r="F48" i="36"/>
  <c r="S41" i="36"/>
  <c r="S38" i="36"/>
  <c r="S35" i="36"/>
  <c r="S32" i="36"/>
  <c r="F29" i="36"/>
  <c r="G42" i="53"/>
  <c r="S44" i="36" l="1"/>
  <c r="D43" i="53"/>
  <c r="D42" i="53"/>
  <c r="F6" i="44" s="1"/>
  <c r="S63" i="36"/>
  <c r="S13" i="36"/>
  <c r="E4" i="21" l="1"/>
  <c r="D4" i="21"/>
  <c r="C4" i="21"/>
  <c r="S22" i="36" l="1"/>
  <c r="S19" i="36"/>
  <c r="S16" i="36"/>
  <c r="S25" i="36" l="1"/>
  <c r="A15" i="18"/>
  <c r="N7" i="37"/>
  <c r="N8" i="37"/>
  <c r="N6" i="37"/>
  <c r="B6" i="44"/>
  <c r="B7" i="44"/>
  <c r="B5" i="44"/>
  <c r="B15" i="18" l="1"/>
  <c r="F7" i="44" l="1"/>
  <c r="E6" i="44" l="1"/>
  <c r="E7" i="44"/>
  <c r="E5" i="44"/>
  <c r="N5" i="38"/>
  <c r="N6" i="38"/>
  <c r="N4" i="38"/>
  <c r="A6" i="38"/>
  <c r="B6" i="38" s="1"/>
  <c r="A5" i="38"/>
  <c r="B5" i="38" s="1"/>
  <c r="A4" i="38"/>
  <c r="B4" i="38" s="1"/>
  <c r="A7" i="37"/>
  <c r="B7" i="37" s="1"/>
  <c r="A8" i="37"/>
  <c r="B8" i="37" s="1"/>
  <c r="X13" i="36"/>
  <c r="AD13" i="36" s="1"/>
  <c r="X14" i="36"/>
  <c r="AD14" i="36" s="1"/>
  <c r="F10" i="36"/>
  <c r="E8" i="37" l="1"/>
  <c r="F8" i="37" s="1"/>
  <c r="I8" i="37"/>
  <c r="J8" i="37" s="1"/>
  <c r="A9" i="35"/>
  <c r="A8" i="35"/>
  <c r="O8" i="37" l="1"/>
  <c r="D7" i="44" s="1"/>
  <c r="O6" i="18" l="1"/>
  <c r="A6" i="37" l="1"/>
  <c r="B6" i="37" s="1"/>
  <c r="I6" i="37" l="1"/>
  <c r="J6" i="37" s="1"/>
  <c r="E6" i="37"/>
  <c r="F6" i="37" s="1"/>
  <c r="E7" i="37"/>
  <c r="F7" i="37" s="1"/>
  <c r="P6" i="36"/>
  <c r="S26" i="36" l="1"/>
  <c r="T25" i="36" s="1"/>
  <c r="S64" i="36"/>
  <c r="S45" i="36"/>
  <c r="I7" i="37"/>
  <c r="J7" i="37" s="1"/>
  <c r="A7" i="35"/>
  <c r="B3" i="35"/>
  <c r="B2" i="35"/>
  <c r="AE12" i="36"/>
  <c r="Y12" i="36" l="1"/>
  <c r="Z12" i="36" s="1"/>
  <c r="C5" i="44" s="1"/>
  <c r="D5" i="21"/>
  <c r="C5" i="21"/>
  <c r="E5" i="21"/>
  <c r="T44" i="36"/>
  <c r="B44" i="36"/>
  <c r="T63" i="36"/>
  <c r="B63" i="36"/>
  <c r="O6" i="37"/>
  <c r="D5" i="44" s="1"/>
  <c r="B25" i="36"/>
  <c r="AE14" i="36"/>
  <c r="AE13" i="36"/>
  <c r="Y13" i="36" l="1"/>
  <c r="Z13" i="36" s="1"/>
  <c r="C6" i="44" s="1"/>
  <c r="I6" i="44" s="1"/>
  <c r="Y14" i="36"/>
  <c r="Z14" i="36" s="1"/>
  <c r="C7" i="44" s="1"/>
  <c r="I7" i="44" s="1"/>
  <c r="O7" i="37"/>
  <c r="D6" i="44" s="1"/>
  <c r="E15" i="18" l="1"/>
  <c r="H8" i="28" l="1"/>
  <c r="F15" i="18"/>
  <c r="K11" i="18"/>
  <c r="H147" i="28" l="1"/>
  <c r="H151" i="28"/>
  <c r="H155" i="28"/>
  <c r="H146" i="28"/>
  <c r="H149" i="28"/>
  <c r="H153" i="28"/>
  <c r="H154" i="28"/>
  <c r="H160" i="28"/>
  <c r="H152" i="28"/>
  <c r="H150" i="28"/>
  <c r="H158" i="28"/>
  <c r="H162" i="28"/>
  <c r="H156" i="28"/>
  <c r="H161" i="28"/>
  <c r="H148" i="28"/>
  <c r="H157" i="28"/>
  <c r="H159" i="28"/>
  <c r="H73" i="28"/>
  <c r="H74" i="28"/>
  <c r="H78" i="28"/>
  <c r="H82" i="28"/>
  <c r="H86" i="28"/>
  <c r="H90" i="28"/>
  <c r="H94" i="28"/>
  <c r="H98" i="28"/>
  <c r="H102" i="28"/>
  <c r="H106" i="28"/>
  <c r="H110" i="28"/>
  <c r="H114" i="28"/>
  <c r="H118" i="28"/>
  <c r="H122" i="28"/>
  <c r="H126" i="28"/>
  <c r="H130" i="28"/>
  <c r="H134" i="28"/>
  <c r="H138" i="28"/>
  <c r="H142" i="28"/>
  <c r="H75" i="28"/>
  <c r="H79" i="28"/>
  <c r="H83" i="28"/>
  <c r="H87" i="28"/>
  <c r="H91" i="28"/>
  <c r="H95" i="28"/>
  <c r="H99" i="28"/>
  <c r="H103" i="28"/>
  <c r="H107" i="28"/>
  <c r="H111" i="28"/>
  <c r="H115" i="28"/>
  <c r="H119" i="28"/>
  <c r="H123" i="28"/>
  <c r="H127" i="28"/>
  <c r="H131" i="28"/>
  <c r="H135" i="28"/>
  <c r="H139" i="28"/>
  <c r="H143" i="28"/>
  <c r="H76" i="28"/>
  <c r="H80" i="28"/>
  <c r="H84" i="28"/>
  <c r="H88" i="28"/>
  <c r="H92" i="28"/>
  <c r="H96" i="28"/>
  <c r="H100" i="28"/>
  <c r="H104" i="28"/>
  <c r="H108" i="28"/>
  <c r="H112" i="28"/>
  <c r="H116" i="28"/>
  <c r="H120" i="28"/>
  <c r="H124" i="28"/>
  <c r="H128" i="28"/>
  <c r="H132" i="28"/>
  <c r="H136" i="28"/>
  <c r="H140" i="28"/>
  <c r="H144" i="28"/>
  <c r="H77" i="28"/>
  <c r="H81" i="28"/>
  <c r="H85" i="28"/>
  <c r="H89" i="28"/>
  <c r="H93" i="28"/>
  <c r="H97" i="28"/>
  <c r="H101" i="28"/>
  <c r="H105" i="28"/>
  <c r="H109" i="28"/>
  <c r="H113" i="28"/>
  <c r="H117" i="28"/>
  <c r="H121" i="28"/>
  <c r="H125" i="28"/>
  <c r="H129" i="28"/>
  <c r="H133" i="28"/>
  <c r="H137" i="28"/>
  <c r="H141" i="28"/>
  <c r="H145" i="28"/>
  <c r="H14" i="28"/>
  <c r="H15" i="28"/>
  <c r="H19" i="28"/>
  <c r="H23" i="28"/>
  <c r="H27" i="28"/>
  <c r="H31" i="28"/>
  <c r="I31" i="28" s="1"/>
  <c r="H35" i="28"/>
  <c r="H39" i="28"/>
  <c r="H43" i="28"/>
  <c r="H47" i="28"/>
  <c r="H51" i="28"/>
  <c r="H55" i="28"/>
  <c r="H59" i="28"/>
  <c r="H63" i="28"/>
  <c r="H67" i="28"/>
  <c r="H26" i="28"/>
  <c r="H62" i="28"/>
  <c r="H16" i="28"/>
  <c r="H20" i="28"/>
  <c r="H24" i="28"/>
  <c r="H28" i="28"/>
  <c r="H32" i="28"/>
  <c r="I32" i="28" s="1"/>
  <c r="H36" i="28"/>
  <c r="H40" i="28"/>
  <c r="H44" i="28"/>
  <c r="H48" i="28"/>
  <c r="H52" i="28"/>
  <c r="H56" i="28"/>
  <c r="H60" i="28"/>
  <c r="H64" i="28"/>
  <c r="H68" i="28"/>
  <c r="H22" i="28"/>
  <c r="H34" i="28"/>
  <c r="H42" i="28"/>
  <c r="H50" i="28"/>
  <c r="H54" i="28"/>
  <c r="H66" i="28"/>
  <c r="H17" i="28"/>
  <c r="H21" i="28"/>
  <c r="H25" i="28"/>
  <c r="H29" i="28"/>
  <c r="H33" i="28"/>
  <c r="I33" i="28" s="1"/>
  <c r="H37" i="28"/>
  <c r="H41" i="28"/>
  <c r="H45" i="28"/>
  <c r="H49" i="28"/>
  <c r="H53" i="28"/>
  <c r="H57" i="28"/>
  <c r="H61" i="28"/>
  <c r="H65" i="28"/>
  <c r="H69" i="28"/>
  <c r="H18" i="28"/>
  <c r="H30" i="28"/>
  <c r="H38" i="28"/>
  <c r="H46" i="28"/>
  <c r="H58" i="28"/>
  <c r="H70" i="28"/>
  <c r="G7" i="18"/>
  <c r="H7" i="18" l="1"/>
  <c r="L4" i="28" s="1"/>
  <c r="A14" i="18" l="1"/>
  <c r="E14" i="18" s="1"/>
  <c r="A13" i="18"/>
  <c r="F7" i="28"/>
  <c r="D7" i="28"/>
  <c r="F14" i="18" l="1"/>
  <c r="F8" i="28"/>
  <c r="B13" i="18"/>
  <c r="B14" i="18"/>
  <c r="F149" i="28" l="1"/>
  <c r="F153" i="28"/>
  <c r="F147" i="28"/>
  <c r="F151" i="28"/>
  <c r="F155" i="28"/>
  <c r="F146" i="28"/>
  <c r="F152" i="28"/>
  <c r="F158" i="28"/>
  <c r="F162" i="28"/>
  <c r="F150" i="28"/>
  <c r="F157" i="28"/>
  <c r="F148" i="28"/>
  <c r="F156" i="28"/>
  <c r="F160" i="28"/>
  <c r="F154" i="28"/>
  <c r="F159" i="28"/>
  <c r="F161" i="28"/>
  <c r="F73" i="28"/>
  <c r="F74" i="28"/>
  <c r="F78" i="28"/>
  <c r="F82" i="28"/>
  <c r="F86" i="28"/>
  <c r="F90" i="28"/>
  <c r="F94" i="28"/>
  <c r="F98" i="28"/>
  <c r="F102" i="28"/>
  <c r="F106" i="28"/>
  <c r="F110" i="28"/>
  <c r="F114" i="28"/>
  <c r="F118" i="28"/>
  <c r="F122" i="28"/>
  <c r="F126" i="28"/>
  <c r="F130" i="28"/>
  <c r="F134" i="28"/>
  <c r="F138" i="28"/>
  <c r="F142" i="28"/>
  <c r="F85" i="28"/>
  <c r="F109" i="28"/>
  <c r="F121" i="28"/>
  <c r="F133" i="28"/>
  <c r="F145" i="28"/>
  <c r="F75" i="28"/>
  <c r="F79" i="28"/>
  <c r="F83" i="28"/>
  <c r="F87" i="28"/>
  <c r="F91" i="28"/>
  <c r="F95" i="28"/>
  <c r="F99" i="28"/>
  <c r="F103" i="28"/>
  <c r="F107" i="28"/>
  <c r="F111" i="28"/>
  <c r="F115" i="28"/>
  <c r="F119" i="28"/>
  <c r="F123" i="28"/>
  <c r="F127" i="28"/>
  <c r="F131" i="28"/>
  <c r="F135" i="28"/>
  <c r="F139" i="28"/>
  <c r="F143" i="28"/>
  <c r="F81" i="28"/>
  <c r="F97" i="28"/>
  <c r="F105" i="28"/>
  <c r="F117" i="28"/>
  <c r="F129" i="28"/>
  <c r="F141" i="28"/>
  <c r="F76" i="28"/>
  <c r="F80" i="28"/>
  <c r="F84" i="28"/>
  <c r="F88" i="28"/>
  <c r="F92" i="28"/>
  <c r="F96" i="28"/>
  <c r="F100" i="28"/>
  <c r="F104" i="28"/>
  <c r="F108" i="28"/>
  <c r="F112" i="28"/>
  <c r="F116" i="28"/>
  <c r="F120" i="28"/>
  <c r="F124" i="28"/>
  <c r="F128" i="28"/>
  <c r="F132" i="28"/>
  <c r="F136" i="28"/>
  <c r="F140" i="28"/>
  <c r="F144" i="28"/>
  <c r="F77" i="28"/>
  <c r="F89" i="28"/>
  <c r="F93" i="28"/>
  <c r="F101" i="28"/>
  <c r="F113" i="28"/>
  <c r="F125" i="28"/>
  <c r="F137" i="28"/>
  <c r="F14" i="28"/>
  <c r="F15" i="28"/>
  <c r="F19" i="28"/>
  <c r="F23" i="28"/>
  <c r="F27" i="28"/>
  <c r="F31" i="28"/>
  <c r="G31" i="28" s="1"/>
  <c r="F35" i="28"/>
  <c r="F39" i="28"/>
  <c r="F43" i="28"/>
  <c r="F47" i="28"/>
  <c r="F51" i="28"/>
  <c r="F55" i="28"/>
  <c r="F59" i="28"/>
  <c r="F63" i="28"/>
  <c r="F67" i="28"/>
  <c r="F26" i="28"/>
  <c r="F34" i="28"/>
  <c r="F50" i="28"/>
  <c r="F62" i="28"/>
  <c r="F16" i="28"/>
  <c r="F20" i="28"/>
  <c r="F24" i="28"/>
  <c r="F28" i="28"/>
  <c r="F32" i="28"/>
  <c r="G32" i="28" s="1"/>
  <c r="F36" i="28"/>
  <c r="F40" i="28"/>
  <c r="F44" i="28"/>
  <c r="F48" i="28"/>
  <c r="F52" i="28"/>
  <c r="F56" i="28"/>
  <c r="F60" i="28"/>
  <c r="F64" i="28"/>
  <c r="F68" i="28"/>
  <c r="F22" i="28"/>
  <c r="F38" i="28"/>
  <c r="F46" i="28"/>
  <c r="F58" i="28"/>
  <c r="F70" i="28"/>
  <c r="F17" i="28"/>
  <c r="F21" i="28"/>
  <c r="F25" i="28"/>
  <c r="F29" i="28"/>
  <c r="F33" i="28"/>
  <c r="G33" i="28" s="1"/>
  <c r="F37" i="28"/>
  <c r="F41" i="28"/>
  <c r="F45" i="28"/>
  <c r="F49" i="28"/>
  <c r="F53" i="28"/>
  <c r="F57" i="28"/>
  <c r="F61" i="28"/>
  <c r="F65" i="28"/>
  <c r="F69" i="28"/>
  <c r="F18" i="28"/>
  <c r="F30" i="28"/>
  <c r="F42" i="28"/>
  <c r="F54" i="28"/>
  <c r="F66" i="28"/>
  <c r="A3" i="18"/>
  <c r="A1" i="18"/>
  <c r="A2" i="18"/>
  <c r="F5" i="44" l="1"/>
  <c r="E13" i="18" l="1"/>
  <c r="F13" i="18" s="1"/>
  <c r="I5" i="44"/>
  <c r="D8" i="28" l="1"/>
  <c r="D17" i="28" s="1"/>
  <c r="O7" i="18"/>
  <c r="J7" i="18" s="1"/>
  <c r="G13" i="18" s="1"/>
  <c r="D38" i="28" l="1"/>
  <c r="D49" i="28"/>
  <c r="D54" i="28"/>
  <c r="D48" i="28"/>
  <c r="D70" i="28"/>
  <c r="D55" i="28"/>
  <c r="D23" i="28"/>
  <c r="D81" i="28"/>
  <c r="C81" i="28" s="1"/>
  <c r="E81" i="28" s="1"/>
  <c r="D116" i="28"/>
  <c r="D84" i="28"/>
  <c r="D89" i="28"/>
  <c r="D119" i="28"/>
  <c r="D87" i="28"/>
  <c r="D85" i="28"/>
  <c r="D114" i="28"/>
  <c r="D82" i="28"/>
  <c r="C82" i="28" s="1"/>
  <c r="E82" i="28" s="1"/>
  <c r="D154" i="28"/>
  <c r="D66" i="28"/>
  <c r="D61" i="28"/>
  <c r="D45" i="28"/>
  <c r="D29" i="28"/>
  <c r="D42" i="28"/>
  <c r="D60" i="28"/>
  <c r="D44" i="28"/>
  <c r="D28" i="28"/>
  <c r="D62" i="28"/>
  <c r="D67" i="28"/>
  <c r="D51" i="28"/>
  <c r="D35" i="28"/>
  <c r="D19" i="28"/>
  <c r="D121" i="28"/>
  <c r="D144" i="28"/>
  <c r="D128" i="28"/>
  <c r="D112" i="28"/>
  <c r="D96" i="28"/>
  <c r="D80" i="28"/>
  <c r="D113" i="28"/>
  <c r="D77" i="28"/>
  <c r="D131" i="28"/>
  <c r="D115" i="28"/>
  <c r="D99" i="28"/>
  <c r="D83" i="28"/>
  <c r="D129" i="28"/>
  <c r="D142" i="28"/>
  <c r="D126" i="28"/>
  <c r="D110" i="28"/>
  <c r="D94" i="28"/>
  <c r="D78" i="28"/>
  <c r="C78" i="28" s="1"/>
  <c r="E78" i="28" s="1"/>
  <c r="D157" i="28"/>
  <c r="D156" i="28"/>
  <c r="D146" i="28"/>
  <c r="D65" i="28"/>
  <c r="D33" i="28"/>
  <c r="D64" i="28"/>
  <c r="D32" i="28"/>
  <c r="D26" i="28"/>
  <c r="D39" i="28"/>
  <c r="D133" i="28"/>
  <c r="D132" i="28"/>
  <c r="D100" i="28"/>
  <c r="D125" i="28"/>
  <c r="D135" i="28"/>
  <c r="D103" i="28"/>
  <c r="D141" i="28"/>
  <c r="D130" i="28"/>
  <c r="D98" i="28"/>
  <c r="D161" i="28"/>
  <c r="D153" i="28"/>
  <c r="D58" i="28"/>
  <c r="D41" i="28"/>
  <c r="D22" i="28"/>
  <c r="D56" i="28"/>
  <c r="D40" i="28"/>
  <c r="D24" i="28"/>
  <c r="D46" i="28"/>
  <c r="D63" i="28"/>
  <c r="D47" i="28"/>
  <c r="D31" i="28"/>
  <c r="D14" i="28"/>
  <c r="C14" i="28" s="1"/>
  <c r="D109" i="28"/>
  <c r="D140" i="28"/>
  <c r="D124" i="28"/>
  <c r="D108" i="28"/>
  <c r="D92" i="28"/>
  <c r="D76" i="28"/>
  <c r="D105" i="28"/>
  <c r="D143" i="28"/>
  <c r="D127" i="28"/>
  <c r="D111" i="28"/>
  <c r="D95" i="28"/>
  <c r="D79" i="28"/>
  <c r="D117" i="28"/>
  <c r="D138" i="28"/>
  <c r="D122" i="28"/>
  <c r="D106" i="28"/>
  <c r="D90" i="28"/>
  <c r="D74" i="28"/>
  <c r="C74" i="28" s="1"/>
  <c r="E74" i="28" s="1"/>
  <c r="D152" i="28"/>
  <c r="D148" i="28"/>
  <c r="D151" i="28"/>
  <c r="D30" i="28"/>
  <c r="D18" i="28"/>
  <c r="D57" i="28"/>
  <c r="D25" i="28"/>
  <c r="D50" i="28"/>
  <c r="D69" i="28"/>
  <c r="D53" i="28"/>
  <c r="D37" i="28"/>
  <c r="D21" i="28"/>
  <c r="D68" i="28"/>
  <c r="D52" i="28"/>
  <c r="D36" i="28"/>
  <c r="D20" i="28"/>
  <c r="D34" i="28"/>
  <c r="D59" i="28"/>
  <c r="D43" i="28"/>
  <c r="D27" i="28"/>
  <c r="D145" i="28"/>
  <c r="D97" i="28"/>
  <c r="D136" i="28"/>
  <c r="D120" i="28"/>
  <c r="D104" i="28"/>
  <c r="D88" i="28"/>
  <c r="D137" i="28"/>
  <c r="D93" i="28"/>
  <c r="D139" i="28"/>
  <c r="D123" i="28"/>
  <c r="D107" i="28"/>
  <c r="D91" i="28"/>
  <c r="D75" i="28"/>
  <c r="C75" i="28" s="1"/>
  <c r="E75" i="28" s="1"/>
  <c r="D101" i="28"/>
  <c r="D134" i="28"/>
  <c r="D118" i="28"/>
  <c r="D102" i="28"/>
  <c r="D86" i="28"/>
  <c r="D159" i="28"/>
  <c r="D162" i="28"/>
  <c r="D150" i="28"/>
  <c r="D16" i="28"/>
  <c r="C16" i="28" s="1"/>
  <c r="E16" i="28" s="1"/>
  <c r="D73" i="28"/>
  <c r="C73" i="28" s="1"/>
  <c r="E73" i="28" s="1"/>
  <c r="D158" i="28"/>
  <c r="D160" i="28"/>
  <c r="D155" i="28"/>
  <c r="D15" i="28"/>
  <c r="C15" i="28" s="1"/>
  <c r="E15" i="28" s="1"/>
  <c r="D149" i="28"/>
  <c r="D147" i="28"/>
  <c r="C76" i="28"/>
  <c r="E76" i="28" s="1"/>
  <c r="C79" i="28"/>
  <c r="E79" i="28" s="1"/>
  <c r="C80" i="28"/>
  <c r="E80" i="28" s="1"/>
  <c r="C77" i="28"/>
  <c r="E77" i="28" s="1"/>
  <c r="C83" i="28"/>
  <c r="E83" i="28" s="1"/>
  <c r="C17" i="28"/>
  <c r="E17" i="28" s="1"/>
  <c r="G15" i="18"/>
  <c r="G14" i="18"/>
  <c r="C30" i="28"/>
  <c r="E30" i="28" s="1"/>
  <c r="C25" i="28"/>
  <c r="E25" i="28" s="1"/>
  <c r="C23" i="28"/>
  <c r="E23" i="28" s="1"/>
  <c r="C33" i="28"/>
  <c r="E33" i="28"/>
  <c r="C28" i="28"/>
  <c r="E28" i="28" s="1"/>
  <c r="C26" i="28"/>
  <c r="E26" i="28" s="1"/>
  <c r="C19" i="28"/>
  <c r="E19" i="28" s="1"/>
  <c r="C31" i="28"/>
  <c r="E31" i="28"/>
  <c r="C29" i="28"/>
  <c r="E29" i="28" s="1"/>
  <c r="C24" i="28"/>
  <c r="E24" i="28" s="1"/>
  <c r="C21" i="28"/>
  <c r="E21" i="28" s="1"/>
  <c r="C32" i="28"/>
  <c r="E32" i="28"/>
  <c r="C27" i="28"/>
  <c r="E27" i="28" s="1"/>
  <c r="C22" i="28"/>
  <c r="E22" i="28" s="1"/>
  <c r="C20" i="28"/>
  <c r="E20" i="28" s="1"/>
  <c r="C59" i="28"/>
  <c r="E59" i="28" s="1"/>
  <c r="C68" i="28"/>
  <c r="E68" i="28" s="1"/>
  <c r="C52" i="28"/>
  <c r="E52" i="28" s="1"/>
  <c r="C36" i="28"/>
  <c r="E36" i="28" s="1"/>
  <c r="C43" i="28"/>
  <c r="E43" i="28" s="1"/>
  <c r="C66" i="28"/>
  <c r="I66" i="28" s="1"/>
  <c r="C50" i="28"/>
  <c r="I50" i="28" s="1"/>
  <c r="C34" i="28"/>
  <c r="I34" i="28" s="1"/>
  <c r="C18" i="28"/>
  <c r="I18" i="28" s="1"/>
  <c r="C61" i="28"/>
  <c r="E61" i="28" s="1"/>
  <c r="C45" i="28"/>
  <c r="E45" i="28" s="1"/>
  <c r="C47" i="28"/>
  <c r="E47" i="28" s="1"/>
  <c r="C64" i="28"/>
  <c r="E64" i="28" s="1"/>
  <c r="C48" i="28"/>
  <c r="E48" i="28" s="1"/>
  <c r="C62" i="28"/>
  <c r="I62" i="28" s="1"/>
  <c r="C46" i="28"/>
  <c r="I46" i="28" s="1"/>
  <c r="C63" i="28"/>
  <c r="E63" i="28" s="1"/>
  <c r="C57" i="28"/>
  <c r="E57" i="28" s="1"/>
  <c r="C41" i="28"/>
  <c r="E41" i="28" s="1"/>
  <c r="C35" i="28"/>
  <c r="E35" i="28" s="1"/>
  <c r="C60" i="28"/>
  <c r="E60" i="28" s="1"/>
  <c r="C44" i="28"/>
  <c r="E44" i="28" s="1"/>
  <c r="C67" i="28"/>
  <c r="E67" i="28" s="1"/>
  <c r="C58" i="28"/>
  <c r="I58" i="28" s="1"/>
  <c r="C42" i="28"/>
  <c r="I42" i="28" s="1"/>
  <c r="C51" i="28"/>
  <c r="E51" i="28" s="1"/>
  <c r="C69" i="28"/>
  <c r="E69" i="28" s="1"/>
  <c r="C53" i="28"/>
  <c r="E53" i="28" s="1"/>
  <c r="C37" i="28"/>
  <c r="E37" i="28" s="1"/>
  <c r="C56" i="28"/>
  <c r="E56" i="28" s="1"/>
  <c r="C40" i="28"/>
  <c r="E40" i="28" s="1"/>
  <c r="C55" i="28"/>
  <c r="E55" i="28" s="1"/>
  <c r="C70" i="28"/>
  <c r="I70" i="28" s="1"/>
  <c r="C54" i="28"/>
  <c r="C38" i="28"/>
  <c r="C39" i="28"/>
  <c r="E39" i="28" s="1"/>
  <c r="C65" i="28"/>
  <c r="C49" i="28"/>
  <c r="E49" i="28" s="1"/>
  <c r="E14" i="28" l="1"/>
  <c r="D10" i="28"/>
  <c r="I78" i="28"/>
  <c r="G78" i="28"/>
  <c r="G77" i="28"/>
  <c r="I77" i="28"/>
  <c r="G15" i="28"/>
  <c r="I15" i="28"/>
  <c r="I17" i="28"/>
  <c r="G17" i="28"/>
  <c r="G81" i="28"/>
  <c r="I81" i="28"/>
  <c r="G75" i="28"/>
  <c r="I75" i="28"/>
  <c r="G74" i="28"/>
  <c r="I74" i="28"/>
  <c r="I76" i="28"/>
  <c r="G76" i="28"/>
  <c r="I83" i="28"/>
  <c r="G83" i="28"/>
  <c r="I80" i="28"/>
  <c r="G80" i="28"/>
  <c r="I82" i="28"/>
  <c r="G82" i="28"/>
  <c r="I73" i="28"/>
  <c r="G73" i="28"/>
  <c r="I16" i="28"/>
  <c r="G16" i="28"/>
  <c r="G79" i="28"/>
  <c r="I79" i="28"/>
  <c r="I14" i="28"/>
  <c r="G14" i="28"/>
  <c r="I20" i="28"/>
  <c r="I22" i="28"/>
  <c r="I28" i="28"/>
  <c r="I29" i="28"/>
  <c r="I21" i="28"/>
  <c r="I25" i="28"/>
  <c r="I19" i="28"/>
  <c r="I23" i="28"/>
  <c r="I27" i="28"/>
  <c r="I24" i="28"/>
  <c r="I26" i="28"/>
  <c r="I30" i="28"/>
  <c r="G19" i="28"/>
  <c r="G23" i="28"/>
  <c r="G27" i="28"/>
  <c r="G24" i="28"/>
  <c r="G26" i="28"/>
  <c r="G29" i="28"/>
  <c r="G22" i="28"/>
  <c r="G28" i="28"/>
  <c r="G20" i="28"/>
  <c r="G21" i="28"/>
  <c r="G30" i="28"/>
  <c r="G25" i="28"/>
  <c r="I56" i="28"/>
  <c r="G36" i="28"/>
  <c r="I68" i="28"/>
  <c r="G49" i="28"/>
  <c r="I52" i="28"/>
  <c r="G68" i="28"/>
  <c r="G59" i="28"/>
  <c r="G65" i="28"/>
  <c r="I54" i="28"/>
  <c r="I67" i="28"/>
  <c r="I44" i="28"/>
  <c r="I36" i="28"/>
  <c r="I65" i="28"/>
  <c r="G54" i="28"/>
  <c r="E54" i="28"/>
  <c r="G55" i="28"/>
  <c r="G40" i="28"/>
  <c r="I37" i="28"/>
  <c r="I53" i="28"/>
  <c r="E42" i="28"/>
  <c r="E46" i="28"/>
  <c r="I45" i="28"/>
  <c r="E18" i="28"/>
  <c r="E50" i="28"/>
  <c r="I43" i="28"/>
  <c r="I55" i="28"/>
  <c r="I40" i="28"/>
  <c r="G53" i="28"/>
  <c r="G51" i="28"/>
  <c r="G42" i="28"/>
  <c r="G60" i="28"/>
  <c r="G57" i="28"/>
  <c r="G63" i="28"/>
  <c r="G46" i="28"/>
  <c r="I48" i="28"/>
  <c r="G64" i="28"/>
  <c r="I47" i="28"/>
  <c r="G61" i="28"/>
  <c r="G18" i="28"/>
  <c r="G50" i="28"/>
  <c r="G43" i="28"/>
  <c r="I49" i="28"/>
  <c r="E65" i="28"/>
  <c r="I38" i="28"/>
  <c r="G37" i="28"/>
  <c r="G69" i="28"/>
  <c r="I69" i="28"/>
  <c r="G58" i="28"/>
  <c r="E58" i="28"/>
  <c r="G67" i="28"/>
  <c r="G44" i="28"/>
  <c r="G35" i="28"/>
  <c r="I35" i="28"/>
  <c r="G41" i="28"/>
  <c r="I41" i="28"/>
  <c r="G62" i="28"/>
  <c r="E62" i="28"/>
  <c r="G48" i="28"/>
  <c r="I64" i="28"/>
  <c r="G47" i="28"/>
  <c r="G45" i="28"/>
  <c r="I61" i="28"/>
  <c r="G34" i="28"/>
  <c r="E34" i="28"/>
  <c r="G66" i="28"/>
  <c r="E66" i="28"/>
  <c r="G52" i="28"/>
  <c r="I59" i="28"/>
  <c r="G39" i="28"/>
  <c r="I39" i="28"/>
  <c r="G38" i="28"/>
  <c r="E38" i="28"/>
  <c r="G70" i="28"/>
  <c r="E70" i="28"/>
  <c r="G56" i="28"/>
  <c r="I51" i="28"/>
  <c r="I60" i="28"/>
  <c r="I57" i="28"/>
  <c r="I63" i="28"/>
  <c r="D9" i="28" l="1"/>
  <c r="D11" i="28" s="1"/>
  <c r="F10" i="28"/>
  <c r="I14" i="18" s="1"/>
  <c r="H10" i="28"/>
  <c r="I15" i="18" s="1"/>
  <c r="F9" i="28"/>
  <c r="H9" i="28"/>
  <c r="I13" i="18"/>
  <c r="H14" i="18"/>
  <c r="H11" i="28" l="1"/>
  <c r="H15" i="18"/>
  <c r="J15" i="18" s="1"/>
  <c r="F11" i="28"/>
  <c r="H13" i="18"/>
  <c r="J13" i="18" s="1"/>
  <c r="J14" i="18"/>
  <c r="Q14" i="18" l="1"/>
  <c r="Q15" i="18"/>
  <c r="Q13" i="18"/>
  <c r="K15" i="18" s="1"/>
  <c r="K13" i="18" l="1"/>
  <c r="K14" i="18"/>
</calcChain>
</file>

<file path=xl/comments1.xml><?xml version="1.0" encoding="utf-8"?>
<comments xmlns="http://schemas.openxmlformats.org/spreadsheetml/2006/main">
  <authors>
    <author>Gustavo</author>
  </authors>
  <commentList>
    <comment ref="T11" authorId="0" shapeId="0">
      <text>
        <r>
          <rPr>
            <b/>
            <sz val="9"/>
            <color indexed="81"/>
            <rFont val="Tahoma"/>
            <family val="2"/>
          </rPr>
          <t>Gustavo:</t>
        </r>
        <r>
          <rPr>
            <sz val="9"/>
            <color indexed="81"/>
            <rFont val="Tahoma"/>
            <family val="2"/>
          </rPr>
          <t xml:space="preserve">
Experiencia específica
</t>
        </r>
      </text>
    </comment>
    <comment ref="T30" authorId="0" shapeId="0">
      <text>
        <r>
          <rPr>
            <b/>
            <sz val="9"/>
            <color indexed="81"/>
            <rFont val="Tahoma"/>
            <family val="2"/>
          </rPr>
          <t>Gustavo:</t>
        </r>
        <r>
          <rPr>
            <sz val="9"/>
            <color indexed="81"/>
            <rFont val="Tahoma"/>
            <family val="2"/>
          </rPr>
          <t xml:space="preserve">
Experiencia específica
</t>
        </r>
      </text>
    </comment>
    <comment ref="T49" authorId="0" shapeId="0">
      <text>
        <r>
          <rPr>
            <b/>
            <sz val="9"/>
            <color indexed="81"/>
            <rFont val="Tahoma"/>
            <family val="2"/>
          </rPr>
          <t>Gustavo:</t>
        </r>
        <r>
          <rPr>
            <sz val="9"/>
            <color indexed="81"/>
            <rFont val="Tahoma"/>
            <family val="2"/>
          </rPr>
          <t xml:space="preserve">
Experiencia específica
</t>
        </r>
      </text>
    </comment>
  </commentList>
</comments>
</file>

<file path=xl/comments2.xml><?xml version="1.0" encoding="utf-8"?>
<comments xmlns="http://schemas.openxmlformats.org/spreadsheetml/2006/main">
  <authors>
    <author>Gustavo</author>
  </authors>
  <commentList>
    <comment ref="B74" authorId="0" shapeId="0">
      <text>
        <r>
          <rPr>
            <b/>
            <sz val="9"/>
            <color indexed="81"/>
            <rFont val="Tahoma"/>
            <family val="2"/>
          </rPr>
          <t>Este ítem debería ser el 1,5</t>
        </r>
      </text>
    </comment>
  </commentList>
</comments>
</file>

<file path=xl/sharedStrings.xml><?xml version="1.0" encoding="utf-8"?>
<sst xmlns="http://schemas.openxmlformats.org/spreadsheetml/2006/main" count="685" uniqueCount="270">
  <si>
    <t>EN PESOS</t>
  </si>
  <si>
    <t>EN SMMLV</t>
  </si>
  <si>
    <t>TOTAL</t>
  </si>
  <si>
    <t>OFERENTE</t>
  </si>
  <si>
    <t>UNIVERSIDAD DE ANTIOQUIA</t>
  </si>
  <si>
    <t>ACTIVO CORRIENTE</t>
  </si>
  <si>
    <t>PASIVO CORRIENTE</t>
  </si>
  <si>
    <t>INDICADOR 1</t>
  </si>
  <si>
    <t>INDICADOR 2</t>
  </si>
  <si>
    <t>PASIVO TOTAL</t>
  </si>
  <si>
    <t>ACTIVO TOTAL</t>
  </si>
  <si>
    <t>PROPONENTE</t>
  </si>
  <si>
    <t>Numeral</t>
  </si>
  <si>
    <t>OBSERVACIONES</t>
  </si>
  <si>
    <t>Item</t>
  </si>
  <si>
    <t>N° DEL CONSECUTIVO DEL REPORTE DEL CONTRATO EJECUTADO EN EL RUP (1)</t>
  </si>
  <si>
    <t>N° de Folio en el RUP (2)</t>
  </si>
  <si>
    <t>CONTRATO (3)</t>
  </si>
  <si>
    <t>CONTRATANTE (4)</t>
  </si>
  <si>
    <t>EN SMMLV (5)</t>
  </si>
  <si>
    <t>FORMA DE
EJECUCIÓN (6)</t>
  </si>
  <si>
    <t>% de Participación (7)</t>
  </si>
  <si>
    <t>TOTAL EXPERIENCIA ESPECÍFICA EN SMMLV</t>
  </si>
  <si>
    <t>LISTADO DE OFERENTES</t>
  </si>
  <si>
    <t>INDICE SUMATORIA CONTRATOS/PRESUPUESTO OFICIAL</t>
  </si>
  <si>
    <t>NRO</t>
  </si>
  <si>
    <t>Presupuesto Total</t>
  </si>
  <si>
    <t>TRM día siguiente</t>
  </si>
  <si>
    <t>ORDEN</t>
  </si>
  <si>
    <t>Nro</t>
  </si>
  <si>
    <t>NOMBRE OFERENTE</t>
  </si>
  <si>
    <t>PROPONENTES</t>
  </si>
  <si>
    <t>PRESUPUESTO OFICIAL</t>
  </si>
  <si>
    <t>N°</t>
  </si>
  <si>
    <t>RADICADO</t>
  </si>
  <si>
    <t>HORA DE RECIBIDO</t>
  </si>
  <si>
    <t>NIT/CC</t>
  </si>
  <si>
    <t>REPRESENTANTE LEGAL</t>
  </si>
  <si>
    <t>NUMERO DE FOLIOS DE LA PROPUESTA</t>
  </si>
  <si>
    <t>COSTO TOTAL CON IVA</t>
  </si>
  <si>
    <t>NIT O CÉDULA</t>
  </si>
  <si>
    <t>EVALUACIÓN EXPERIENCIA - INDICADORES FINANCIEROS</t>
  </si>
  <si>
    <t>APERTURA DE SOBRES</t>
  </si>
  <si>
    <t>Fecha</t>
  </si>
  <si>
    <r>
      <t>PUNTAJE (Pt</t>
    </r>
    <r>
      <rPr>
        <b/>
        <vertAlign val="subscript"/>
        <sz val="12"/>
        <rFont val="Calibri"/>
        <family val="2"/>
        <scheme val="minor"/>
      </rPr>
      <t>1</t>
    </r>
    <r>
      <rPr>
        <b/>
        <sz val="12"/>
        <rFont val="Calibri"/>
        <family val="2"/>
        <scheme val="minor"/>
      </rPr>
      <t>)</t>
    </r>
  </si>
  <si>
    <t>MÉTODO DE EVALUACIÓN DE ACUERDO A TRM</t>
  </si>
  <si>
    <t>CAPITAL DE TRABAJO</t>
  </si>
  <si>
    <t>ITEM</t>
  </si>
  <si>
    <t>PUNTAJE TOTAL</t>
  </si>
  <si>
    <t>Número total de ítems</t>
  </si>
  <si>
    <t>Proponente</t>
  </si>
  <si>
    <t>*H=Habilitado  NH=No habilitado</t>
  </si>
  <si>
    <t>ESTADO*</t>
  </si>
  <si>
    <r>
      <rPr>
        <b/>
        <sz val="10"/>
        <rFont val="Arial"/>
        <family val="2"/>
      </rPr>
      <t>OBSERVACIÓN:</t>
    </r>
    <r>
      <rPr>
        <sz val="10"/>
        <rFont val="Arial"/>
        <family val="2"/>
      </rPr>
      <t xml:space="preserve">
</t>
    </r>
  </si>
  <si>
    <t>CLASIFICACIÓN DEL OBJETO DEL CONTRATO (8)</t>
  </si>
  <si>
    <t>Media aritmética</t>
  </si>
  <si>
    <t># propuestas (n)</t>
  </si>
  <si>
    <t>Asignar de acuerdo al proceso</t>
  </si>
  <si>
    <t>IR</t>
  </si>
  <si>
    <t>(IR) Ítems representativos</t>
  </si>
  <si>
    <t>(IRES) Ítems restantes</t>
  </si>
  <si>
    <t>IRES</t>
  </si>
  <si>
    <t>(IR) ITEMS REPRESENTATIVOS</t>
  </si>
  <si>
    <t>(IRES) ITEMS RESTANTES</t>
  </si>
  <si>
    <t>Estado</t>
  </si>
  <si>
    <t>EVALUACIÓN DE REQUISITOS JURÍDICOS</t>
  </si>
  <si>
    <t>EVALUACIÓN DE EXPERIENCIA GENERAL</t>
  </si>
  <si>
    <t>EVALUACIÓN DE REQUISITOS COMERCIALES</t>
  </si>
  <si>
    <t>SALARIO MÍNIMO</t>
  </si>
  <si>
    <t>COCIENTE EVALUACIÓN</t>
  </si>
  <si>
    <t>ESTADO</t>
  </si>
  <si>
    <t>MÁXIMO PUNTAJE A ASIGNAR PARA Pti</t>
  </si>
  <si>
    <r>
      <t>PUNTAJE (Pt</t>
    </r>
    <r>
      <rPr>
        <b/>
        <vertAlign val="subscript"/>
        <sz val="12"/>
        <rFont val="Calibri"/>
        <family val="2"/>
        <scheme val="minor"/>
      </rPr>
      <t>2A</t>
    </r>
    <r>
      <rPr>
        <b/>
        <sz val="12"/>
        <rFont val="Calibri"/>
        <family val="2"/>
        <scheme val="minor"/>
      </rPr>
      <t>)</t>
    </r>
  </si>
  <si>
    <r>
      <t>PUNTAJE (Pt</t>
    </r>
    <r>
      <rPr>
        <b/>
        <vertAlign val="subscript"/>
        <sz val="12"/>
        <rFont val="Calibri"/>
        <family val="2"/>
        <scheme val="minor"/>
      </rPr>
      <t>2B</t>
    </r>
    <r>
      <rPr>
        <b/>
        <sz val="12"/>
        <rFont val="Calibri"/>
        <family val="2"/>
        <scheme val="minor"/>
      </rPr>
      <t>)</t>
    </r>
  </si>
  <si>
    <t>Pt2A</t>
  </si>
  <si>
    <t>Pt2 TOTAL</t>
  </si>
  <si>
    <t>Pt2B</t>
  </si>
  <si>
    <t>Desviación estándar</t>
  </si>
  <si>
    <t>Método de evaluación</t>
  </si>
  <si>
    <t>CALCULO DE Pt2</t>
  </si>
  <si>
    <t>5.1.1 Requisitos personas naturales</t>
  </si>
  <si>
    <t xml:space="preserve">EXPERIENCIA GENERAL </t>
  </si>
  <si>
    <t>PRESENTACIÓN DE CERTIFICADOS (9)</t>
  </si>
  <si>
    <t>ALCANCE DEL OBJETO CONTRACTUAL (10)</t>
  </si>
  <si>
    <t>VALORACIÓN DE OBSERVACIONES (11)</t>
  </si>
  <si>
    <t>VALORACIÓN DE REQUERIMIENTOS ENTREGADOS(12)</t>
  </si>
  <si>
    <t>SMMLV DE PARTICIPACIÓN PONDERADOS (13)</t>
  </si>
  <si>
    <t>VALORACIÓN</t>
  </si>
  <si>
    <t>VALIDACIÓN DE CODIGOS SEGÚN TABLA  4 (CODIGOS UNSPSC)</t>
  </si>
  <si>
    <t>Unidad</t>
  </si>
  <si>
    <t>Cantidad</t>
  </si>
  <si>
    <t>Precio Unitario</t>
  </si>
  <si>
    <t>Valor Total</t>
  </si>
  <si>
    <t>m</t>
  </si>
  <si>
    <t>VERIFICACIÓN DE UNIDADES</t>
  </si>
  <si>
    <t>VERIFICACIÓN DE CANTIDADES</t>
  </si>
  <si>
    <t>VERIFICACIÓN DE PRECIOS UNITARIOS</t>
  </si>
  <si>
    <t>VERIFICACIÓN DE VALORES TOTALES</t>
  </si>
  <si>
    <t>PONDERACIÓN DE HABILITACIÓN</t>
  </si>
  <si>
    <t>VERIFICACIÓN DE REDONDEO</t>
  </si>
  <si>
    <t>DIFERENCIA</t>
  </si>
  <si>
    <t>TOTAL DIFERENCIA</t>
  </si>
  <si>
    <t>% DIFERENCIA</t>
  </si>
  <si>
    <t>ESTATUS EXPERIENCIA GENERAL</t>
  </si>
  <si>
    <t>ESTATUS CAPACIDAD FINANCIERA</t>
  </si>
  <si>
    <t>ESTATUS REQUISITOS COMERCIALES</t>
  </si>
  <si>
    <t>TABLA RESUMEN EXPERIENCIA</t>
  </si>
  <si>
    <t>ESTATUS</t>
  </si>
  <si>
    <t>TABLA RESUMEN</t>
  </si>
  <si>
    <t>ESTATUS GENERAL</t>
  </si>
  <si>
    <t>No estar reportada al Boletín de Responsables Fiscales de la Contraloría General de la República (Art. 60 Ley 610 de 2000; Circular 005 del 25 de febrero de 2008).</t>
  </si>
  <si>
    <t>No tener antecedentes disciplinarios en la Procuraduría General de la Nación.</t>
  </si>
  <si>
    <t>No estar en mora en el Sistema Registro Nacional de Medidas Correctivas RNMC de la Policía Nacional de Colombia (artículo 183 de la Ley 1801 de 2016)</t>
  </si>
  <si>
    <t>Estar inscrita en el Registro Único de Tributario.</t>
  </si>
  <si>
    <t>CERTIFICADOS PRESENTADOS</t>
  </si>
  <si>
    <t>LOGO DEL OFERENTE</t>
  </si>
  <si>
    <t>VERIFICACIÓN DE ACTIVIDAD</t>
  </si>
  <si>
    <t xml:space="preserve"> </t>
  </si>
  <si>
    <t xml:space="preserve">OBJETO: </t>
  </si>
  <si>
    <t>Descripcion de la Actividad</t>
  </si>
  <si>
    <t>Max Total Costo Directo</t>
  </si>
  <si>
    <t>TOTAL COSTOS DIRECTOS</t>
  </si>
  <si>
    <t>No tener antecedentes judiciales en la Policía Nacional de Colombia.</t>
  </si>
  <si>
    <t>T</t>
  </si>
  <si>
    <t>COSTOS DIRECTOS TOTALES</t>
  </si>
  <si>
    <t>DIRECCION INICIAL</t>
  </si>
  <si>
    <t>VERIFICACIÓN DE PRESUPUESTO</t>
  </si>
  <si>
    <t>ESTATUS VERIFICACIÓN PRESUPUESTO</t>
  </si>
  <si>
    <t>VALIDACIÓN DE CODIGOS SEGÚN TABLA  3 (CODIGOS UNSPSC) DE LOS TÉRMINOS DE REFERENCIA</t>
  </si>
  <si>
    <t>EXPERIENCIA GENERAL Y ESPECÍFICA</t>
  </si>
  <si>
    <t>ÍNDICE DE ENDEUDAMIENTO</t>
  </si>
  <si>
    <t>IE = PT/AT &lt;=
Siendo PT = pasivo total 
AT = activo total</t>
  </si>
  <si>
    <t>PRESUPUESTO OFICIAL
UNIVERSIDAD DE ANTIOQUIA</t>
  </si>
  <si>
    <t>DIRECCIÓN COSTO DIRECTO</t>
  </si>
  <si>
    <t>DIFERENCIA DIRECCIÓN</t>
  </si>
  <si>
    <t>ASIGNACIÓN DE PUNTAJE PARA Pt2:</t>
  </si>
  <si>
    <t>OBJETO:</t>
  </si>
  <si>
    <t>Póliza de seriedad de la oferta a favor de entidades Estatales y a nombre de la Universidad de Antioquia.
Por una cuantía equivalente al DIEZ POR CIENTO (10%) del presupuesto oficial; con una vigencia de sesenta (60) días, contada a partir de la fecha y hora de cierre de la presente INVITACIÓN, prorrogable en caso de ser necesario. Con la Propuesta Comercial se debe anexar la póliza.</t>
  </si>
  <si>
    <t>Estar afiliado y a paz y salvo con el Sistema de Salud (EPS) y el Sistema General de Pensiones en los términos de la Ley.
En caso de tener empleados a su cargo, deben estar afiliados y a paz y salvo con el Sistema General de Seguridad Social (Salud, Pensiones, Riesgos Laborales) y con los aportes Parafiscales (Caja de Compensación Familiar, Sena, ICBF).</t>
  </si>
  <si>
    <t>No estar en mora en el Sistema Registro Nacional de Medidas Correctivas RNMC de la Policía Nacional de Colombia (artículo 183 de la Ley 1801 de 2016).</t>
  </si>
  <si>
    <t>Aseguradora:</t>
  </si>
  <si>
    <t>Póliza número:</t>
  </si>
  <si>
    <t>valor asegurado:</t>
  </si>
  <si>
    <t>Número:</t>
  </si>
  <si>
    <t>Valor :</t>
  </si>
  <si>
    <t>Vigencia:</t>
  </si>
  <si>
    <t>CIUDAD UNIVERSITARIA</t>
  </si>
  <si>
    <t>Tener capacidad jurídica para contratar. Por tanto, el Proponente debe:
(i) Ser mayor de edad; 
(ii) no tener inhabilidades, incompatibilidades ni conflictos de interés para contratar, según el artículo 4° del Acuerdo Superior 419 de 2014.
(iii) No tener ninguna de estas situaciones: Cesación de pagos o, cualquier otra circunstancia que justificadamente permita a la UdeA presumir incapacidad o imposibilidad jurídica, económica o técnica para cumplir el objeto del contrato.
(iiii) Ingenieros mecánicos o ingenieros electricistas que tengan establecimiento comercial y cuyo objeto social incluya el suministro, comercialización, distribución, instalación, montaje o fabricación de equipos o sistemas de aire acondicionado.</t>
  </si>
  <si>
    <r>
      <t xml:space="preserve">Estar inscrita, calificada y clasificada en el Registro Único de Proponentes –RUP- de la Cámara de Comercio de su domicilio, antes de la fecha de cierre o entrega de propuestas de esta INVITACIÓN, alguno de los códigos de la clasificación establecida en la tabla A y debe estar clasificado obligatoriamente en el código </t>
    </r>
    <r>
      <rPr>
        <b/>
        <sz val="12"/>
        <color theme="1"/>
        <rFont val="Arial"/>
        <family val="2"/>
      </rPr>
      <t>721512</t>
    </r>
  </si>
  <si>
    <t>Haber cumplido con los aportes al Sistema de Seguridad Social Integral y Parafiscales , en los seis (6) meses anteriores a la presentación de la propuesta Comercial y encontrarse a paz y salvo con el sistema. Si tiene acuerdos de pago deberá certificarlo.</t>
  </si>
  <si>
    <t>No estar reportada al Boletín de Responsables Fiscales de la Contraloría General de la República (Art. 60 Ley 610 de 2000; Circular 005 del 25 de febrero de 2008)</t>
  </si>
  <si>
    <t>Habilitante</t>
  </si>
  <si>
    <t>Se aceptarán aquellas propuestas presentadas por personas naturales o jurídicas que sean Ingenieros mecánicos o ingenieros electricistas o electromecánicos, que tengan establecimiento comercial y cuyo objeto social incluya el suministro, comercialización, distribución, instalación, montaje o fabricación de equipos o sistemas de aire acondicionado.
Y personas jurídicas cuyo objeto social incluya el suministro, comercialización, distribución, instalación, montaje o fabricación de equipos o sistemas de aire acondicionado.</t>
  </si>
  <si>
    <t>REQUISITOS JURÍDICOS DE PARTICIPACIÓN  (personas naturales y jurídicas) numeral 5.1</t>
  </si>
  <si>
    <t>CUMPLE/NO CUMPLE</t>
  </si>
  <si>
    <t>Vigencia [dias]:</t>
  </si>
  <si>
    <t>CONCLUSIONES</t>
  </si>
  <si>
    <t>CT = AC-PC &gt; PO
Siendo PO = Presupuesto Oficial</t>
  </si>
  <si>
    <t>und</t>
  </si>
  <si>
    <t>4.4.1 Ser en PESOS COLOMBIANOS.</t>
  </si>
  <si>
    <t>4.4.2 Incluir todos los costos, gastos impuestos, tasas y contribuciones en los que deba incurrir el PROPONENTE para cumplir el objeto de la INVITACIÓN.</t>
  </si>
  <si>
    <t>4.4.3 Tener una vigencia mínima de SESENTA (60) días calendario, contados a partir de del cierre de la invitación, prorrogable en un plazo igual, en caso que no se pueda adjudicar en dicho término</t>
  </si>
  <si>
    <t>4.4.4 No modificar los formatos del Proceso de Contratación, salvo autorización expresa.</t>
  </si>
  <si>
    <t>4.4.5 Ser irrevocable, una vez presentada (artículo 846  del Código de Comercio).
Garantía de seriedad de la propuesta por una cuantía igual al 10% del P.O. y vigencia de 60 días</t>
  </si>
  <si>
    <t>4.4.7 Los ítems que tengan la misma descripción deberán tener el mismo valor económico.</t>
  </si>
  <si>
    <t>Invitación Pública N° VA-130-2019</t>
  </si>
  <si>
    <t xml:space="preserve">CIERRE: 10/02/2020
HORA: 9:30 A.M </t>
  </si>
  <si>
    <t xml:space="preserve">“Compraventa, transporte, instalación y puesta en servicio de: once (11) cabinas de extracción, seis (6) cabinas de flujo laminar vertical, una (1) cabina PCR (cabina para la reacción en cadena de la polimerasa), bases, conexión de ventilador a control integrado a las cabinas de extracción, conexión de abasto de agua y desagüe al interior de los laboratorios, conexión de gases especiales, pruebas para calificación, y demás elementos necesarios para su correcto funcionamiento, en la Seccional Oriente de la Universidad de Antioquia, por precios unitarios fijos no reajustables, conforme conforme con los planos, cantidades y especificaciones técnicas.” </t>
  </si>
  <si>
    <t>4.1.1. Requisitos personas jurídicas de forma individual</t>
  </si>
  <si>
    <t>Tener capacidad jurídica para contratar. Por tanto, el Proponente debe:
 (i) Ser persona jurídica con capacidad jurídica para celebrar contratos;
(ii) Tener como objeto social principal, o conexo, las actividades establecidas en el objeto de la presente INVITACIÓN;
(iii) Haber sido registrada por lo menos TRES (3) años antes de la fecha de cierre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U.de.A., según la Constitución y la Ley; y el Acuerdo Superior 395 de 2011.
(vii) No tener ninguna de estas situaciones: Cesación de pagos o, cualquier otra circunstancia que justificadamente permita a la U.de.A presumir incapacidad o imposibilidad jurídica, económica o técnica para cumplir el objeto del contrato.</t>
  </si>
  <si>
    <t>Estar inscrita, calificada y clasificada en el Registro Único de PROPONENTES –RUP- de la Cámara de Comercio de su domicilio antes de la fecha de cierre o entrega de propuestas de esta invitación, en una de las clasificaciones de la UNSPSC, 411048 – 411049, relacionadas en tabla N°4</t>
  </si>
  <si>
    <r>
      <t xml:space="preserve">Haber ejecutado contratos en COLOMBIA, y que dentro de su objeto o alcance incluyan compraventa, distribución e instalación de cabinas para laboratorios (cabinas de extracción, flujo laminar o PCR) que tenga relación con el objeto de la invitación.
El valor de cada contrato se tomará en Salarios Mínimos Mensuales Legales Vigentes (SMMLV) del R.U.P.
Para efectos de aplicar las siguientes fórmulas el valor del presupuesto oficial total se debe expresar en SMMLV del año 2019.
Cada certificado debe cumplir obligatoriamente con una de las clasificaciones de la UNSPSC, 411048 – 411049, relacionadas en tabla N°4
Se aceptarán solo aquellas propuestas que certifiquen experiencia GENERAL acreditada en hasta cuatro (4) certificados de contratos terminados y liquidados, que dentro de su objeto o alcance incluyan compraventa, distribución e instalación de cabinas para laboratorios (cabinas de extracción, flujo laminar o PCR) que tenga relación con el objeto de la invitación y que al dividir la sumatoria de los contratos solicitados por el presupuesto oficial total del contrato expresado en SMMLV, el resultado de este sea mayor o igual a dos (≥2).
</t>
    </r>
    <r>
      <rPr>
        <u/>
        <sz val="28"/>
        <rFont val="Symbol"/>
        <family val="1"/>
        <charset val="2"/>
      </rPr>
      <t>S</t>
    </r>
    <r>
      <rPr>
        <u/>
        <sz val="16"/>
        <rFont val="Arial"/>
        <family val="2"/>
      </rPr>
      <t xml:space="preserve"> (Del valor total de hasta 4 contratos liquidados solicitados y que certifiquen clasificación en el código requerido en SMMLV)</t>
    </r>
    <r>
      <rPr>
        <sz val="16"/>
        <rFont val="Arial"/>
        <family val="2"/>
      </rPr>
      <t xml:space="preserve"> ≥ 2,0
(Valor del presupuesto total oficial en SMMLV de 2019)</t>
    </r>
  </si>
  <si>
    <t>CUMPLE CON EL REQUERIMIENTO OBLIGATORIO DE ESTAR CLASIFICADO EN UNO DE LOS CÓDIGOS?</t>
  </si>
  <si>
    <t>4.4.8 El proponente debe presentar carta de representación exclusiva del fabricante</t>
  </si>
  <si>
    <t>4.5.2 El proponente presentó valores diferentes para ítems iguales?</t>
  </si>
  <si>
    <t>EVALUACIÓN ECONÓMICA - DEFINICIÓN DE MÉTODO DE EVALUACIÓN Y CÁLCULO DE PUNTAJE</t>
  </si>
  <si>
    <t>4.1</t>
  </si>
  <si>
    <t>4.2</t>
  </si>
  <si>
    <t>5.1</t>
  </si>
  <si>
    <t>5.2</t>
  </si>
  <si>
    <t>5.3</t>
  </si>
  <si>
    <t>5.4</t>
  </si>
  <si>
    <t>5.5</t>
  </si>
  <si>
    <t>1.0</t>
  </si>
  <si>
    <t xml:space="preserve">Cabinas de extracción </t>
  </si>
  <si>
    <t>Compra, transporte, instalación y puesta en servicio de Cabina de extracción Tipo 1 según especificaciones técnicas. Incluye: acople para conexión a ducto existente de 10" de diametro en acero inoxidable de 1.5 m, cable encauchetado de min. 3 m de longitud con clavija nema 5-20P, dos tomas a 115 V ac, interruptor independientes para control de ventilador (de min 2A) e iluminación, indicadores luminosos para ventilador e iluminación, borneras de conexión para alimentar el ventilador, conexión del ventilador a la cabina, conexión de servicios de gases especiales, conexión de desague y abasto de agua, base, toma 110V, pruebas y demás accesorios necesarios para su correcta instalación y funcionamiento.</t>
  </si>
  <si>
    <t>Compra, transporte, instalación y puesta en servicio de Cabina de extracción Tipo 2 según especificaciones técnicas. Incluye: acople para conexión a ducto existente de 10" de diámetro en acero inoxidable de 1.5 m, cable encauchetado de min. 3 m de longitud con clavija nema 5-20P, dos tomas a 115 V ac, interruptor independientes para control de ventilador (de min 2A) e iluminación, indicadores luminosos para ventilador e iluminación, borneras de conexión para alimentar el ventilador, conexión del ventilador a la cabina, conexión de servicios de gases especiales, base, toma 110V, pruebas y demás accesorios necesarios para su correcta instalación y funcionamiento.</t>
  </si>
  <si>
    <t>Compra, transporte, instalación y puesta en servicio de Cabina de extracción Tipo 3 según especificaciones técnicas. Incluye: acople para conexión a ducto existente de 10" de diametro en acero inoxidable de 1.5 m, cable encauchetado de min. 3 m de longitud con clavija nema 5-20P, interruptores independientes para control de ventilador (de min 2A) e iluminación, indiacdores luminosos de para ventilador e iluminación, borneras de conexión para alimentar el ventilador, conexión del ventilador a la cabina, conexión de vacío, base, toma 110V, puebas y demás accesorios necesarios para su correcta instalación y funcionamiento.</t>
  </si>
  <si>
    <t>Compra, transporte, instalación y puesta en servicio de Cabina de extracción Tipo 5 según especificaciones técnicas. Incluye: acople para conexión a ducto existente de 10" de diametro en acero inoxidable de 1.5 m, cable encauchetado de min. 3 m de longitud con clavija nema 5-20P, dos tomas a 115 V ac, interruptores independientes para control de ventilador (de min 2A) e iluminación, indicadores luminosos para ventilador e iluminación, borneras de conexión para alimentar el ventilador, conexión del ventilador a la cabina, toma 110V, puebas y demás accesorios necesarios para su correcta instalación y funcionamiento.</t>
  </si>
  <si>
    <t>Cabinas de flujo laminar vertical</t>
  </si>
  <si>
    <t>Compra, transporte, instalación y puesta en servicio de Cabina de flujo laminar vertical Tipo 6 según especificaciones técnicas. Incluye: Cable encauchetado de min. 3 m de longitud con clavija nema 5-20P,ventilador centrífugo, interruptores independientes para control de ventilador (de min 2A) e iluminación, indicadores luminosos para ventilador e iluminación, sensor diferencial de presión o equivalente, indicador de alarma, base, pre filtro,  filtro ULPA, luz ultavioleta, toma 110V, pruebas y demás accesorios necesarios para su correcta instalación y funcionamiento.</t>
  </si>
  <si>
    <t>Compra, transporte, instalación y puesta en servicio de Cabina de flujo laminar vertical Tipo 6 según especificaciones técnicas. Incluye: Cable encauchetado de min. 6 m de longitud con clavija nema 5-20P, ventilador centrífugo, interruptores independientes para control de ventilador (de min 2A) e iluminación, indicadores luminosos para ventilador e iluminación, sensor diferencial de presión o equivalente, indicador de alarma, base, pre filtro, filtro ULPA, luz ultravioleta, toma 110V, pruebas y demás accesorios necesarios para su correcta instalación y funcionamiento.</t>
  </si>
  <si>
    <t>3</t>
  </si>
  <si>
    <t>Cabina PCR</t>
  </si>
  <si>
    <t>Compra, transporte, instalación y puesta en servicio de Cabina PCR Tipo 7 según especificaciones técnicas. Incluye: Cable encauchetado de min. 3 m de longitud con clavija nema 5-20P, ventlador centrífugo,  interruptores independientes para control de ventilador (de min 2A) e iluminación, indicadores luminosos para ventilador e iluminación, sensor diferencial de presión o equivalente, indicador de alarma, base, pre filtro, filtro HEPA, luz ultravioleta, toma 110V, pruebas y demás accesorios necesarios para su correcta instalación y funcionamiento.</t>
  </si>
  <si>
    <t>4</t>
  </si>
  <si>
    <t>ELEMENTOS HIDROSANITARÍOS</t>
  </si>
  <si>
    <t>Compra, transporte, instalación y puesta en servicio de abasto de agua para cabina de extracción. Incluye: válvula de regulación de 1/2 a 1/2, tubería de PVC RDE 9 de 1/2", adaptadores hembras y/o machos, uniones, codos (45° y/o 90°), buje soldado, acople fleximalla 40 a 60 cm, limpiador, soldadura, cinta sellante de teflon  y demás accesorios necesarios para su correcta instalación y funcionamiento.</t>
  </si>
  <si>
    <t>Compra, transporte, instalación y puesta en servicio de salida sanitaria de 1 1/2" de max. 2 m de longitud para cabina de extracción. Incluye: Ttubería de PVC de 1 1/2", uniones, codos (45° y/o 90°), sifón, limpiador, soldadura, cinta sellante de teflon  y demás accesorios necesarios para su correcta instalación y funcionamiento.</t>
  </si>
  <si>
    <t>5</t>
  </si>
  <si>
    <t xml:space="preserve">GASES ESPECIALES </t>
  </si>
  <si>
    <t>Compra, transporte, instalación y puesta en servicio de tubing en acero inox. De 1/4" del tipo TUBING 1/4  SS-T4-S-035-6ME</t>
  </si>
  <si>
    <t>Compra, transporte, instalación y puesta en servicio de conector macho en acero inox. De 1/4" del tipo conector macho ¼” NPT-OD - Rosca NPT</t>
  </si>
  <si>
    <t xml:space="preserve">Compra, transporte, instalación y puesta en servicio de reducción tuerca en acero inox. De 1/2" a 1/4" </t>
  </si>
  <si>
    <t>Compra, transporte, instalación y puesta en servicio de unión en acero inox. De 1/4"  OD-OD del tipo TUBE FITTING UNION 1/4" TUBE OD</t>
  </si>
  <si>
    <t>Compra, transporte, instalación y puesta en servicio de regleta de soporte para tuberías del tipo PLATINAS DE SUJECIÓN DE TUBO 1/4-MS-TSS-7</t>
  </si>
  <si>
    <t>TOTAL COSTO DIRECTO</t>
  </si>
  <si>
    <t>IVA</t>
  </si>
  <si>
    <t>OBSERVACIONES CON RESPECTO A LA PROPUESTA ECONÓMICA</t>
  </si>
  <si>
    <t>Instrumentación y Servicios S.A.S</t>
  </si>
  <si>
    <t>830505910-7</t>
  </si>
  <si>
    <t>Elba María Peña Gómez</t>
  </si>
  <si>
    <t>CTL Company Ltda</t>
  </si>
  <si>
    <t>900026709-0</t>
  </si>
  <si>
    <t>Avantika Colombia S.A.S</t>
  </si>
  <si>
    <t>890101977-3</t>
  </si>
  <si>
    <t>Iván Alberto Antequera Castro</t>
  </si>
  <si>
    <t>INS1011</t>
  </si>
  <si>
    <t>Intrutek S.A.S</t>
  </si>
  <si>
    <t>I</t>
  </si>
  <si>
    <t>CUMPLE</t>
  </si>
  <si>
    <t>PRESENTÓ CERTIFICADO</t>
  </si>
  <si>
    <t>ACORDE A ITEM 5.2.1 (T.R.)</t>
  </si>
  <si>
    <t>SIN OBSERVACIÓN</t>
  </si>
  <si>
    <t>NINGUNO</t>
  </si>
  <si>
    <t>SI</t>
  </si>
  <si>
    <t>9889-EO1687-820-2013</t>
  </si>
  <si>
    <t>Universidad de Antioquia</t>
  </si>
  <si>
    <t>10410029-001 de 2017</t>
  </si>
  <si>
    <t>20-9114-000983 de 2017</t>
  </si>
  <si>
    <t>CCO-VAD-003 DE 2016</t>
  </si>
  <si>
    <t>Sena Regional Cesar</t>
  </si>
  <si>
    <t>Universidad del magdalena</t>
  </si>
  <si>
    <t>1081-2017</t>
  </si>
  <si>
    <t>Gobernación de Cundinamarca</t>
  </si>
  <si>
    <t>Fonade</t>
  </si>
  <si>
    <t>694-2009</t>
  </si>
  <si>
    <t>NO CUMPLE</t>
  </si>
  <si>
    <t>Cesar Tabares Londoño</t>
  </si>
  <si>
    <t>Se recibieron tres propuestas tecnico-económicas</t>
  </si>
  <si>
    <t>Resúmen: se recibieron TRES (3) propuestas.
EQUIPO TÉCNICO DE EVALUACIÓN
DIVISIÓN DE INFRAESTRUCTURA FÍSICA</t>
  </si>
  <si>
    <t>Compra, transporte, instalación y puesta en servicio de Cabina de extracción Tipo 4 según especificaciones técnicas. Incluye: acople para conexión a ducto existente de 10" de diametro en acero inoxidable de 1.5 m, cable encauchetado de min. 3 m de longitud con clavija nema 5-20P, dos tomas a 115 V ac, interruptores independientes  para control de ventilador (de min 2A) e iluminación, indiacadores luminosos de para ventilador e iluminación, borneras de conexión para alimentar el ventilador, conexión del ventilador a la cabina, toma 110V, puebas y demás accesorios necesarios para su correcta instalación y funcionamiento.</t>
  </si>
  <si>
    <t>|</t>
  </si>
  <si>
    <t xml:space="preserve">SENA </t>
  </si>
  <si>
    <t>Cumple</t>
  </si>
  <si>
    <t>Debe actualizar al mes de febrero el certificado</t>
  </si>
  <si>
    <t>Aseguradoradora Solidaria de Colombia</t>
  </si>
  <si>
    <t>Suramericana</t>
  </si>
  <si>
    <t>380-47-994000102869</t>
  </si>
  <si>
    <t>2555451-8</t>
  </si>
  <si>
    <t>2558181-8</t>
  </si>
  <si>
    <t>05/02/2020 al 16/06/2020</t>
  </si>
  <si>
    <t>10/02/2020 al 10/04/2020</t>
  </si>
  <si>
    <t>Cumple solo con el código 411048, no cumple código 411049</t>
  </si>
  <si>
    <t>H</t>
  </si>
  <si>
    <t>ESTATUS REQUISITOS TÉCNICOS</t>
  </si>
  <si>
    <t>ESTATUS REQUISITOS JURÍDICOS</t>
  </si>
  <si>
    <t>RESUMEN HABILITACIÓN</t>
  </si>
  <si>
    <t>TIPO DE CABINA</t>
  </si>
  <si>
    <t>CONDICION DE HABILITACIÓN</t>
  </si>
  <si>
    <t>CE-TIPO 1</t>
  </si>
  <si>
    <t>CE-TIPO 2</t>
  </si>
  <si>
    <t>CE-TIPO 3</t>
  </si>
  <si>
    <t>CE-TIPO 4</t>
  </si>
  <si>
    <t>CE-TIPO 5</t>
  </si>
  <si>
    <t>CFL</t>
  </si>
  <si>
    <t>PCR</t>
  </si>
  <si>
    <t>No presenta certificados de cumplimiento ni declaraciones  de conformidad con las normas relacionadas en la propuesta técnica, presenta carta de la Empresa BIOWEB Colombia, su técnico esta certificado para instalación, operación y mantenimiento de sistemas de filtración de aire, dicho alcance no lo cualifica para certificar las normas referidas.</t>
  </si>
  <si>
    <t>No allego los documentos solicitados: carta de representación exclusiva del fabricante, certifcados de cumplimiento y declaraciones de conformidad con las normas realacionadas en la propuesta técnica, a pesar de haberlo requerido el 2 y 5 de marzo de 2020.</t>
  </si>
  <si>
    <t>El proponente presenta la propuesta técnica con los certificados y declaraciones de conformidad con las normas referidas en cada una de las cabinas ofertadas, los catalogos de los equipos permiten hacer un análisis de sus componentes y operación de las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</si>
</sst>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8" formatCode="&quot;$&quot;#,##0.00;[Red]\-&quot;$&quot;#,##0.00"/>
    <numFmt numFmtId="41" formatCode="_-* #,##0_-;\-* #,##0_-;_-* &quot;-&quot;_-;_-@_-"/>
    <numFmt numFmtId="44" formatCode="_-&quot;$&quot;* #,##0.00_-;\-&quot;$&quot;* #,##0.00_-;_-&quot;$&quot;* &quot;-&quot;??_-;_-@_-"/>
    <numFmt numFmtId="43" formatCode="_-* #,##0.00_-;\-* #,##0.00_-;_-* &quot;-&quot;??_-;_-@_-"/>
    <numFmt numFmtId="164" formatCode="&quot;$&quot;\ #,##0;[Red]\-&quot;$&quot;\ #,##0"/>
    <numFmt numFmtId="165" formatCode="&quot;$&quot;\ #,##0.00;[Red]\-&quot;$&quot;\ #,##0.00"/>
    <numFmt numFmtId="166" formatCode="_-&quot;$&quot;\ * #,##0_-;\-&quot;$&quot;\ * #,##0_-;_-&quot;$&quot;\ * &quot;-&quot;_-;_-@_-"/>
    <numFmt numFmtId="167" formatCode="_-&quot;$&quot;\ * #,##0.00_-;\-&quot;$&quot;\ * #,##0.00_-;_-&quot;$&quot;\ * &quot;-&quot;??_-;_-@_-"/>
    <numFmt numFmtId="168" formatCode="_(* #,##0.00_);_(* \(#,##0.00\);_(* &quot;-&quot;??_);_(@_)"/>
    <numFmt numFmtId="169" formatCode="_ * #,##0.00_ ;_ * \-#,##0.00_ ;_ * &quot;-&quot;??_ ;_ @_ "/>
    <numFmt numFmtId="170" formatCode="&quot;K=&quot;\ \ \ \ #,##0.00\ &quot;de contra&quot;"/>
    <numFmt numFmtId="171" formatCode="&quot;$&quot;\ #,##0.00"/>
    <numFmt numFmtId="172" formatCode="#,##0.00\ &quot;SMMLV&quot;"/>
    <numFmt numFmtId="173" formatCode="_ * #,##0_ ;_ * \-#,##0_ ;_ * &quot;-&quot;??_ ;_ @_ "/>
    <numFmt numFmtId="174" formatCode="_-* #,##0.00\ [$€]_-;\-* #,##0.00\ [$€]_-;_-* &quot;-&quot;??\ [$€]_-;_-@_-"/>
    <numFmt numFmtId="175" formatCode="\$#,##0.00_);[Red]\(\$#,##0.00\)"/>
    <numFmt numFmtId="176" formatCode="&quot;$&quot;\ #,##0.00;[Red]&quot;$&quot;\ \-#,##0.00"/>
    <numFmt numFmtId="177" formatCode="_-* #,##0.00\ _$_-;\-* #,##0.00\ _$_-;_-* &quot;-&quot;??\ _$_-;_-@_-"/>
    <numFmt numFmtId="178" formatCode="#,##0.000"/>
    <numFmt numFmtId="179" formatCode="0.0"/>
    <numFmt numFmtId="180" formatCode="###,###,##0.00000"/>
    <numFmt numFmtId="181" formatCode="&quot;$&quot;\ #,##0;&quot;$&quot;\ \-#,##0"/>
    <numFmt numFmtId="182" formatCode="_ &quot;$&quot;\ * #,##0.00_ ;_ &quot;$&quot;\ * \-#,##0.00_ ;_ &quot;$&quot;\ * &quot;-&quot;??_ ;_ @_ "/>
    <numFmt numFmtId="183" formatCode="_ &quot;$&quot;\ * #,##0_ ;_ &quot;$&quot;\ * \-#,##0_ ;_ &quot;$&quot;\ * &quot;-&quot;_ ;_ @_ "/>
    <numFmt numFmtId="184" formatCode="&quot;$&quot;\ #,##0.00;&quot;$&quot;\ \-#,##0.00"/>
    <numFmt numFmtId="185" formatCode="[$$-240A]\ #,##0.00"/>
    <numFmt numFmtId="186" formatCode="&quot;$&quot;\ #,##0;[Red]&quot;$&quot;\ \-#,##0"/>
    <numFmt numFmtId="187" formatCode="_(* #,##0_);_(* \(#,##0\);_(* &quot;-&quot;??_);_(@_)"/>
    <numFmt numFmtId="188" formatCode="_([$$-240A]\ * #,##0_);_([$$-240A]\ * \(#,##0\);_([$$-240A]\ * &quot;-&quot;_);_(@_)"/>
    <numFmt numFmtId="189" formatCode="#,##0;[Red]#,##0"/>
    <numFmt numFmtId="190" formatCode="#,##0.00;[Red]#,##0.00"/>
    <numFmt numFmtId="191" formatCode="&quot;$&quot;\ #,##0"/>
    <numFmt numFmtId="192" formatCode="#,##0.0000"/>
    <numFmt numFmtId="193" formatCode="#,##0.00_ ;[Red]\-#,##0.00\ "/>
    <numFmt numFmtId="194" formatCode="&quot;X=&quot;0.0"/>
    <numFmt numFmtId="195" formatCode="_(&quot;$&quot;\ * #,##0.00_);_(&quot;$&quot;\ * \(#,##0.00\);_(&quot;$&quot;\ * &quot;-&quot;??_);_(@_)"/>
    <numFmt numFmtId="196" formatCode="_(&quot;$&quot;* #,##0.00_);_(&quot;$&quot;* \(#,##0.00\);_(&quot;$&quot;* &quot;-&quot;??_);_(@_)"/>
    <numFmt numFmtId="197" formatCode="_-&quot;$&quot;* #,##0_-;\-&quot;$&quot;* #,##0_-;_-&quot;$&quot;* &quot;-&quot;??_-;_-@_-"/>
    <numFmt numFmtId="198" formatCode="_-[$$-240A]\ * #,##0.00_-;\-[$$-240A]\ * #,##0.00_-;_-[$$-240A]\ * &quot;-&quot;??_-;_-@_-"/>
    <numFmt numFmtId="199" formatCode="&quot;$&quot;#,##0"/>
    <numFmt numFmtId="200" formatCode="&quot;$ &quot;#,##0"/>
    <numFmt numFmtId="201" formatCode="\$#,##0"/>
  </numFmts>
  <fonts count="121">
    <font>
      <sz val="10"/>
      <name val="Arial"/>
    </font>
    <font>
      <sz val="12"/>
      <color theme="1"/>
      <name val="Arial"/>
      <family val="2"/>
    </font>
    <font>
      <sz val="12"/>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2"/>
      <name val="Arial"/>
      <family val="2"/>
    </font>
    <font>
      <b/>
      <sz val="12"/>
      <name val="Arial"/>
      <family val="2"/>
    </font>
    <font>
      <sz val="9"/>
      <name val="Arial"/>
      <family val="2"/>
    </font>
    <font>
      <u/>
      <sz val="7"/>
      <color theme="10"/>
      <name val="Arial"/>
      <family val="2"/>
    </font>
    <font>
      <u/>
      <sz val="8.5"/>
      <color theme="10"/>
      <name val="Arial"/>
      <family val="2"/>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i/>
      <sz val="8"/>
      <name val="Arial"/>
      <family val="2"/>
    </font>
    <font>
      <b/>
      <sz val="11"/>
      <color indexed="62"/>
      <name val="Calibri"/>
      <family val="2"/>
    </font>
    <font>
      <sz val="11"/>
      <color indexed="62"/>
      <name val="Calibri"/>
      <family val="2"/>
    </font>
    <font>
      <i/>
      <sz val="11"/>
      <color indexed="23"/>
      <name val="Calibri"/>
      <family val="2"/>
    </font>
    <font>
      <b/>
      <i/>
      <sz val="7"/>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sz val="10"/>
      <name val="Myriad Pro"/>
    </font>
    <font>
      <b/>
      <sz val="11"/>
      <color indexed="63"/>
      <name val="Calibri"/>
      <family val="2"/>
    </font>
    <font>
      <b/>
      <sz val="8"/>
      <name val="Arial"/>
      <family val="2"/>
    </font>
    <font>
      <b/>
      <sz val="18"/>
      <color indexed="56"/>
      <name val="Cambria"/>
      <family val="2"/>
    </font>
    <font>
      <b/>
      <sz val="11"/>
      <name val="Arial"/>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b/>
      <sz val="16"/>
      <name val="Arial"/>
      <family val="2"/>
    </font>
    <font>
      <sz val="10"/>
      <color theme="1"/>
      <name val="Arial"/>
      <family val="2"/>
    </font>
    <font>
      <b/>
      <sz val="10"/>
      <color theme="1"/>
      <name val="Arial"/>
      <family val="2"/>
    </font>
    <font>
      <b/>
      <sz val="10"/>
      <color rgb="FF000000"/>
      <name val="Arial"/>
      <family val="2"/>
    </font>
    <font>
      <sz val="11"/>
      <color rgb="FF000000"/>
      <name val="Calibri"/>
      <family val="2"/>
    </font>
    <font>
      <sz val="11"/>
      <name val="Calibri"/>
      <family val="2"/>
      <scheme val="minor"/>
    </font>
    <font>
      <b/>
      <sz val="11"/>
      <name val="Calibri"/>
      <family val="2"/>
      <scheme val="minor"/>
    </font>
    <font>
      <b/>
      <sz val="12"/>
      <name val="Calibri"/>
      <family val="2"/>
      <scheme val="minor"/>
    </font>
    <font>
      <sz val="8"/>
      <name val="Calibri"/>
      <family val="2"/>
      <scheme val="minor"/>
    </font>
    <font>
      <sz val="11"/>
      <name val="Arial"/>
      <family val="2"/>
    </font>
    <font>
      <b/>
      <sz val="14"/>
      <color rgb="FF000000"/>
      <name val="Calibri"/>
      <family val="2"/>
    </font>
    <font>
      <sz val="11"/>
      <color theme="1"/>
      <name val="Arial"/>
      <family val="2"/>
    </font>
    <font>
      <sz val="10"/>
      <name val="Swis721 LtCn BT"/>
      <family val="2"/>
    </font>
    <font>
      <sz val="11"/>
      <name val="Swis721 LtCn BT"/>
      <family val="2"/>
    </font>
    <font>
      <b/>
      <sz val="12"/>
      <name val="Swis721 LtCn BT"/>
      <family val="2"/>
    </font>
    <font>
      <sz val="16"/>
      <name val="Arial"/>
      <family val="2"/>
    </font>
    <font>
      <b/>
      <sz val="11"/>
      <color rgb="FF000000"/>
      <name val="Arial"/>
      <family val="2"/>
    </font>
    <font>
      <sz val="12"/>
      <name val="Calibri"/>
      <family val="2"/>
      <scheme val="minor"/>
    </font>
    <font>
      <b/>
      <sz val="16"/>
      <name val="Calibri"/>
      <family val="2"/>
      <scheme val="minor"/>
    </font>
    <font>
      <b/>
      <vertAlign val="subscript"/>
      <sz val="12"/>
      <name val="Calibri"/>
      <family val="2"/>
      <scheme val="minor"/>
    </font>
    <font>
      <b/>
      <sz val="20"/>
      <name val="Calibri"/>
      <family val="2"/>
      <scheme val="minor"/>
    </font>
    <font>
      <sz val="10"/>
      <name val="Arial"/>
      <family val="2"/>
    </font>
    <font>
      <b/>
      <sz val="10"/>
      <name val="Calibri"/>
      <family val="2"/>
      <scheme val="minor"/>
    </font>
    <font>
      <b/>
      <sz val="9"/>
      <name val="Calibri"/>
      <family val="2"/>
      <scheme val="minor"/>
    </font>
    <font>
      <sz val="10"/>
      <name val="Century Gothic"/>
      <family val="2"/>
    </font>
    <font>
      <u/>
      <sz val="10"/>
      <color theme="10"/>
      <name val="Arial"/>
      <family val="2"/>
    </font>
    <font>
      <sz val="8"/>
      <name val="Arial"/>
      <family val="2"/>
    </font>
    <font>
      <b/>
      <sz val="18"/>
      <name val="Arial"/>
      <family val="2"/>
    </font>
    <font>
      <sz val="10"/>
      <name val="Arial"/>
      <family val="2"/>
    </font>
    <font>
      <b/>
      <sz val="22"/>
      <name val="Arial"/>
      <family val="2"/>
    </font>
    <font>
      <b/>
      <sz val="26"/>
      <color rgb="FF000000"/>
      <name val="Calibri"/>
      <family val="2"/>
    </font>
    <font>
      <b/>
      <sz val="20"/>
      <name val="Arial"/>
      <family val="2"/>
    </font>
    <font>
      <u/>
      <sz val="16"/>
      <name val="Arial"/>
      <family val="2"/>
    </font>
    <font>
      <sz val="10"/>
      <name val="Arial"/>
      <family val="2"/>
    </font>
    <font>
      <b/>
      <sz val="48"/>
      <name val="Arial"/>
      <family val="2"/>
    </font>
    <font>
      <b/>
      <sz val="10"/>
      <name val="Century Gothic"/>
      <family val="2"/>
    </font>
    <font>
      <b/>
      <sz val="11.5"/>
      <name val="Arial"/>
      <family val="2"/>
    </font>
    <font>
      <b/>
      <sz val="36"/>
      <name val="Arial"/>
      <family val="2"/>
    </font>
    <font>
      <u/>
      <sz val="28"/>
      <name val="Symbol"/>
      <family val="1"/>
      <charset val="2"/>
    </font>
    <font>
      <b/>
      <sz val="72"/>
      <name val="Arial"/>
      <family val="2"/>
    </font>
    <font>
      <b/>
      <sz val="12"/>
      <color theme="1"/>
      <name val="Arial"/>
      <family val="2"/>
    </font>
    <font>
      <sz val="10"/>
      <color rgb="FFFF0000"/>
      <name val="Arial"/>
      <family val="2"/>
    </font>
    <font>
      <sz val="9"/>
      <color indexed="81"/>
      <name val="Tahoma"/>
      <family val="2"/>
    </font>
    <font>
      <b/>
      <sz val="9"/>
      <color indexed="81"/>
      <name val="Tahoma"/>
      <family val="2"/>
    </font>
    <font>
      <b/>
      <sz val="12"/>
      <color rgb="FF000000"/>
      <name val="Arial"/>
      <family val="2"/>
    </font>
    <font>
      <sz val="12"/>
      <color rgb="FF000000"/>
      <name val="Arial"/>
      <family val="2"/>
    </font>
    <font>
      <sz val="10"/>
      <name val="Arial"/>
      <family val="2"/>
    </font>
    <font>
      <u/>
      <sz val="11.5"/>
      <color theme="10"/>
      <name val="Swis721 LtCn BT"/>
      <family val="2"/>
    </font>
    <font>
      <b/>
      <sz val="11"/>
      <color rgb="FFFFFFFF"/>
      <name val="Century Gothic"/>
      <family val="2"/>
    </font>
    <font>
      <b/>
      <sz val="11.5"/>
      <color rgb="FF000000"/>
      <name val="Swis721 LtCn BT"/>
      <family val="2"/>
    </font>
    <font>
      <b/>
      <sz val="11"/>
      <name val="Century Gothic"/>
      <family val="2"/>
    </font>
    <font>
      <sz val="11"/>
      <name val="Century Gothic"/>
      <family val="2"/>
    </font>
    <font>
      <b/>
      <sz val="12"/>
      <name val="Century Gothic"/>
      <family val="2"/>
    </font>
    <font>
      <u/>
      <sz val="10"/>
      <color rgb="FF0563C1"/>
      <name val="Arial"/>
      <family val="2"/>
    </font>
    <font>
      <u/>
      <sz val="11.5"/>
      <color rgb="FF0563C1"/>
      <name val="Swis721 LtCn BT"/>
      <family val="2"/>
    </font>
    <font>
      <sz val="11"/>
      <color rgb="FF000000"/>
      <name val="Century Gothic"/>
      <family val="2"/>
    </font>
    <font>
      <b/>
      <sz val="11"/>
      <name val="Swis721 LtCn BT"/>
      <family val="2"/>
    </font>
    <font>
      <b/>
      <sz val="11.5"/>
      <color indexed="8"/>
      <name val="Swis721 LtCn BT"/>
      <family val="2"/>
    </font>
    <font>
      <b/>
      <sz val="11.5"/>
      <color rgb="FF000000"/>
      <name val="Swis721 LtCn BT"/>
      <family val="2"/>
      <charset val="1"/>
    </font>
    <font>
      <b/>
      <sz val="11"/>
      <name val="Century Gothic"/>
      <family val="2"/>
      <charset val="1"/>
    </font>
    <font>
      <sz val="11"/>
      <name val="Century Gothic"/>
      <family val="2"/>
      <charset val="1"/>
    </font>
    <font>
      <b/>
      <sz val="12"/>
      <name val="Century Gothic"/>
      <family val="2"/>
      <charset val="1"/>
    </font>
    <font>
      <u/>
      <sz val="10"/>
      <color rgb="FF0563C1"/>
      <name val="Arial"/>
      <family val="2"/>
      <charset val="1"/>
    </font>
    <font>
      <u/>
      <sz val="11.5"/>
      <color rgb="FF0563C1"/>
      <name val="Swis721 LtCn BT"/>
      <family val="2"/>
      <charset val="1"/>
    </font>
    <font>
      <sz val="11"/>
      <name val="Swis721 LtCn BT"/>
      <family val="2"/>
      <charset val="1"/>
    </font>
    <font>
      <sz val="11"/>
      <color rgb="FF000000"/>
      <name val="Century Gothic"/>
      <family val="2"/>
      <charset val="1"/>
    </font>
    <font>
      <b/>
      <sz val="14"/>
      <name val="Swis721 LtCn BT"/>
      <family val="2"/>
    </font>
    <font>
      <sz val="14"/>
      <name val="Swis721 LtCn BT"/>
      <family val="2"/>
    </font>
    <font>
      <b/>
      <sz val="11"/>
      <color theme="1"/>
      <name val="Calibri"/>
      <family val="2"/>
      <scheme val="minor"/>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rgb="FF7B7B7B"/>
        <bgColor rgb="FF000000"/>
      </patternFill>
    </fill>
    <fill>
      <patternFill patternType="solid">
        <fgColor rgb="FFC9C9C9"/>
        <bgColor rgb="FF000000"/>
      </patternFill>
    </fill>
    <fill>
      <patternFill patternType="solid">
        <fgColor rgb="FFFFFFFF"/>
        <bgColor rgb="FF000000"/>
      </patternFill>
    </fill>
    <fill>
      <patternFill patternType="solid">
        <fgColor rgb="FFFFFF00"/>
        <bgColor rgb="FF000000"/>
      </patternFill>
    </fill>
    <fill>
      <patternFill patternType="solid">
        <fgColor rgb="FFFFFF00"/>
        <bgColor rgb="FFFFFFCC"/>
      </patternFill>
    </fill>
    <fill>
      <patternFill patternType="solid">
        <fgColor rgb="FFFFFFFF"/>
        <bgColor rgb="FFFFFFCC"/>
      </patternFill>
    </fill>
    <fill>
      <patternFill patternType="solid">
        <fgColor rgb="FFDBDBDB"/>
        <bgColor rgb="FF000000"/>
      </patternFill>
    </fill>
    <fill>
      <patternFill patternType="solid">
        <fgColor theme="6" tint="0.39997558519241921"/>
        <bgColor indexed="8"/>
      </patternFill>
    </fill>
    <fill>
      <patternFill patternType="solid">
        <fgColor rgb="FFC9C9C9"/>
        <bgColor rgb="FFDBDBDB"/>
      </patternFill>
    </fill>
    <fill>
      <patternFill patternType="solid">
        <fgColor rgb="FFFFFF00"/>
        <bgColor rgb="FFFFFF00"/>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style="double">
        <color auto="1"/>
      </right>
      <top/>
      <bottom style="double">
        <color auto="1"/>
      </bottom>
      <diagonal/>
    </border>
    <border>
      <left style="double">
        <color auto="1"/>
      </left>
      <right style="double">
        <color auto="1"/>
      </right>
      <top style="double">
        <color auto="1"/>
      </top>
      <bottom/>
      <diagonal/>
    </border>
    <border>
      <left/>
      <right/>
      <top style="double">
        <color auto="1"/>
      </top>
      <bottom/>
      <diagonal/>
    </border>
    <border>
      <left/>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double">
        <color indexed="64"/>
      </right>
      <top/>
      <bottom/>
      <diagonal/>
    </border>
    <border>
      <left/>
      <right style="double">
        <color auto="1"/>
      </right>
      <top style="double">
        <color auto="1"/>
      </top>
      <bottom style="double">
        <color auto="1"/>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indexed="64"/>
      </left>
      <right/>
      <top/>
      <bottom style="medium">
        <color indexed="64"/>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double">
        <color auto="1"/>
      </left>
      <right style="medium">
        <color auto="1"/>
      </right>
      <top/>
      <bottom style="hair">
        <color auto="1"/>
      </bottom>
      <diagonal/>
    </border>
    <border>
      <left style="double">
        <color auto="1"/>
      </left>
      <right style="medium">
        <color auto="1"/>
      </right>
      <top style="double">
        <color auto="1"/>
      </top>
      <bottom style="thin">
        <color indexed="64"/>
      </bottom>
      <diagonal/>
    </border>
    <border>
      <left style="double">
        <color auto="1"/>
      </left>
      <right style="medium">
        <color auto="1"/>
      </right>
      <top/>
      <bottom/>
      <diagonal/>
    </border>
    <border>
      <left style="double">
        <color auto="1"/>
      </left>
      <right/>
      <top style="hair">
        <color auto="1"/>
      </top>
      <bottom/>
      <diagonal/>
    </border>
    <border>
      <left style="double">
        <color auto="1"/>
      </left>
      <right style="medium">
        <color auto="1"/>
      </right>
      <top style="thin">
        <color indexed="64"/>
      </top>
      <bottom style="thin">
        <color indexed="64"/>
      </bottom>
      <diagonal/>
    </border>
    <border>
      <left style="double">
        <color auto="1"/>
      </left>
      <right style="medium">
        <color auto="1"/>
      </right>
      <top/>
      <bottom style="thin">
        <color indexed="64"/>
      </bottom>
      <diagonal/>
    </border>
    <border>
      <left style="double">
        <color auto="1"/>
      </left>
      <right style="medium">
        <color auto="1"/>
      </right>
      <top style="medium">
        <color auto="1"/>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double">
        <color auto="1"/>
      </left>
      <right style="medium">
        <color auto="1"/>
      </right>
      <top style="double">
        <color auto="1"/>
      </top>
      <bottom style="double">
        <color auto="1"/>
      </bottom>
      <diagonal/>
    </border>
    <border>
      <left style="medium">
        <color auto="1"/>
      </left>
      <right style="double">
        <color auto="1"/>
      </right>
      <top style="double">
        <color auto="1"/>
      </top>
      <bottom style="double">
        <color auto="1"/>
      </bottom>
      <diagonal/>
    </border>
    <border>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medium">
        <color auto="1"/>
      </left>
      <right style="double">
        <color auto="1"/>
      </right>
      <top/>
      <bottom style="hair">
        <color auto="1"/>
      </bottom>
      <diagonal/>
    </border>
    <border>
      <left/>
      <right style="medium">
        <color auto="1"/>
      </right>
      <top/>
      <bottom style="hair">
        <color auto="1"/>
      </bottom>
      <diagonal/>
    </border>
    <border>
      <left style="medium">
        <color auto="1"/>
      </left>
      <right style="medium">
        <color auto="1"/>
      </right>
      <top/>
      <bottom style="hair">
        <color auto="1"/>
      </bottom>
      <diagonal/>
    </border>
    <border>
      <left style="medium">
        <color auto="1"/>
      </left>
      <right style="double">
        <color auto="1"/>
      </right>
      <top style="double">
        <color auto="1"/>
      </top>
      <bottom style="thin">
        <color indexed="64"/>
      </bottom>
      <diagonal/>
    </border>
    <border>
      <left/>
      <right style="medium">
        <color auto="1"/>
      </right>
      <top style="double">
        <color auto="1"/>
      </top>
      <bottom style="thin">
        <color indexed="64"/>
      </bottom>
      <diagonal/>
    </border>
    <border>
      <left style="medium">
        <color auto="1"/>
      </left>
      <right style="medium">
        <color auto="1"/>
      </right>
      <top style="double">
        <color auto="1"/>
      </top>
      <bottom style="thin">
        <color indexed="64"/>
      </bottom>
      <diagonal/>
    </border>
    <border>
      <left/>
      <right style="medium">
        <color auto="1"/>
      </right>
      <top/>
      <bottom/>
      <diagonal/>
    </border>
    <border>
      <left style="medium">
        <color auto="1"/>
      </left>
      <right/>
      <top/>
      <bottom style="double">
        <color auto="1"/>
      </bottom>
      <diagonal/>
    </border>
    <border>
      <left style="medium">
        <color auto="1"/>
      </left>
      <right/>
      <top style="double">
        <color auto="1"/>
      </top>
      <bottom style="double">
        <color auto="1"/>
      </bottom>
      <diagonal/>
    </border>
    <border>
      <left style="thin">
        <color auto="1"/>
      </left>
      <right style="double">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auto="1"/>
      </left>
      <right style="medium">
        <color auto="1"/>
      </right>
      <top style="hair">
        <color auto="1"/>
      </top>
      <bottom style="thin">
        <color indexed="64"/>
      </bottom>
      <diagonal/>
    </border>
    <border>
      <left style="medium">
        <color auto="1"/>
      </left>
      <right style="double">
        <color auto="1"/>
      </right>
      <top style="hair">
        <color auto="1"/>
      </top>
      <bottom style="thin">
        <color indexed="64"/>
      </bottom>
      <diagonal/>
    </border>
    <border>
      <left/>
      <right style="medium">
        <color auto="1"/>
      </right>
      <top style="hair">
        <color auto="1"/>
      </top>
      <bottom style="thin">
        <color indexed="64"/>
      </bottom>
      <diagonal/>
    </border>
    <border>
      <left style="medium">
        <color auto="1"/>
      </left>
      <right style="medium">
        <color auto="1"/>
      </right>
      <top style="hair">
        <color auto="1"/>
      </top>
      <bottom style="thin">
        <color indexed="64"/>
      </bottom>
      <diagonal/>
    </border>
    <border>
      <left style="double">
        <color auto="1"/>
      </left>
      <right style="medium">
        <color auto="1"/>
      </right>
      <top/>
      <bottom style="double">
        <color auto="1"/>
      </bottom>
      <diagonal/>
    </border>
    <border>
      <left style="medium">
        <color auto="1"/>
      </left>
      <right style="double">
        <color auto="1"/>
      </right>
      <top/>
      <bottom style="double">
        <color auto="1"/>
      </bottom>
      <diagonal/>
    </border>
    <border>
      <left/>
      <right style="medium">
        <color auto="1"/>
      </right>
      <top/>
      <bottom style="double">
        <color auto="1"/>
      </bottom>
      <diagonal/>
    </border>
    <border>
      <left style="medium">
        <color auto="1"/>
      </left>
      <right style="medium">
        <color auto="1"/>
      </right>
      <top/>
      <bottom style="double">
        <color auto="1"/>
      </bottom>
      <diagonal/>
    </border>
    <border>
      <left style="double">
        <color auto="1"/>
      </left>
      <right/>
      <top/>
      <bottom style="double">
        <color indexed="64"/>
      </bottom>
      <diagonal/>
    </border>
    <border>
      <left/>
      <right/>
      <top/>
      <bottom style="double">
        <color indexed="64"/>
      </bottom>
      <diagonal/>
    </border>
    <border>
      <left/>
      <right style="double">
        <color auto="1"/>
      </right>
      <top/>
      <bottom style="double">
        <color indexed="64"/>
      </bottom>
      <diagonal/>
    </border>
    <border>
      <left style="double">
        <color auto="1"/>
      </left>
      <right style="double">
        <color indexed="64"/>
      </right>
      <top/>
      <bottom style="double">
        <color indexed="64"/>
      </bottom>
      <diagonal/>
    </border>
    <border>
      <left style="thin">
        <color indexed="64"/>
      </left>
      <right style="double">
        <color indexed="64"/>
      </right>
      <top style="thin">
        <color auto="1"/>
      </top>
      <bottom style="double">
        <color indexed="64"/>
      </bottom>
      <diagonal/>
    </border>
  </borders>
  <cellStyleXfs count="439">
    <xf numFmtId="0" fontId="0" fillId="0" borderId="0"/>
    <xf numFmtId="8" fontId="16" fillId="0" borderId="0" applyFont="0" applyFill="0" applyProtection="0"/>
    <xf numFmtId="0" fontId="16" fillId="0" borderId="0"/>
    <xf numFmtId="169" fontId="19" fillId="0" borderId="0" applyFont="0" applyFill="0" applyBorder="0" applyAlignment="0" applyProtection="0"/>
    <xf numFmtId="174" fontId="16"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5" fontId="16" fillId="0" borderId="0" applyFont="0" applyFill="0" applyProtection="0"/>
    <xf numFmtId="175" fontId="16" fillId="0" borderId="0" applyFont="0" applyFill="0" applyProtection="0"/>
    <xf numFmtId="16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6" fontId="16" fillId="0" borderId="0" applyFont="0" applyFill="0" applyProtection="0"/>
    <xf numFmtId="176" fontId="16" fillId="0" borderId="0" applyFont="0" applyFill="0" applyProtection="0"/>
    <xf numFmtId="176" fontId="16" fillId="0" borderId="0" applyFont="0" applyFill="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6" fontId="16" fillId="0" borderId="0" applyFont="0" applyFill="0" applyProtection="0"/>
    <xf numFmtId="176" fontId="16" fillId="0" borderId="0" applyFont="0" applyFill="0" applyProtection="0"/>
    <xf numFmtId="176" fontId="16" fillId="0" borderId="0" applyFont="0" applyFill="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8" fontId="16" fillId="0" borderId="0" applyFont="0" applyFill="0" applyProtection="0"/>
    <xf numFmtId="8" fontId="16" fillId="0" borderId="0" applyFont="0" applyFill="0" applyProtection="0"/>
    <xf numFmtId="168" fontId="16" fillId="0" borderId="0" applyFont="0" applyFill="0" applyBorder="0" applyAlignment="0" applyProtection="0"/>
    <xf numFmtId="177" fontId="16" fillId="0" borderId="0" applyFont="0" applyFill="0" applyBorder="0" applyAlignment="0" applyProtection="0"/>
    <xf numFmtId="168" fontId="16" fillId="0" borderId="0" applyFont="0" applyFill="0" applyBorder="0" applyAlignment="0" applyProtection="0"/>
    <xf numFmtId="178" fontId="16" fillId="0" borderId="0" applyFont="0" applyFill="0" applyProtection="0"/>
    <xf numFmtId="0" fontId="16" fillId="0" borderId="0" applyFont="0" applyFill="0" applyProtection="0"/>
    <xf numFmtId="0" fontId="16" fillId="0" borderId="0" applyFont="0" applyFill="0" applyProtection="0"/>
    <xf numFmtId="0" fontId="16" fillId="0" borderId="0" applyFont="0" applyFill="0" applyProtection="0"/>
    <xf numFmtId="0" fontId="16" fillId="0" borderId="0" applyFont="0" applyFill="0" applyProtection="0"/>
    <xf numFmtId="0" fontId="16" fillId="0" borderId="0" applyFont="0" applyFill="0" applyProtection="0"/>
    <xf numFmtId="0" fontId="16" fillId="0" borderId="0" applyFont="0" applyFill="0" applyProtection="0"/>
    <xf numFmtId="175" fontId="16" fillId="0" borderId="0" applyFont="0" applyFill="0" applyProtection="0"/>
    <xf numFmtId="179" fontId="16" fillId="0" borderId="0" applyFont="0" applyFill="0" applyProtection="0"/>
    <xf numFmtId="179" fontId="16" fillId="0" borderId="0" applyFont="0" applyFill="0" applyProtection="0"/>
    <xf numFmtId="179" fontId="16" fillId="0" borderId="0" applyFont="0" applyFill="0" applyProtection="0"/>
    <xf numFmtId="175" fontId="16" fillId="0" borderId="0" applyFont="0" applyFill="0" applyProtection="0"/>
    <xf numFmtId="175" fontId="16" fillId="0" borderId="0" applyFont="0" applyFill="0" applyProtection="0"/>
    <xf numFmtId="178" fontId="16" fillId="0" borderId="0" applyFont="0" applyFill="0" applyProtection="0"/>
    <xf numFmtId="178" fontId="16" fillId="0" borderId="0" applyFont="0" applyFill="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80" fontId="16" fillId="0" borderId="0" applyFont="0" applyFill="0" applyProtection="0"/>
    <xf numFmtId="180" fontId="16" fillId="0" borderId="0" applyFont="0" applyFill="0" applyProtection="0"/>
    <xf numFmtId="180" fontId="16" fillId="0" borderId="0" applyFont="0" applyFill="0" applyProtection="0"/>
    <xf numFmtId="8" fontId="16" fillId="0" borderId="0" applyFont="0" applyFill="0" applyProtection="0"/>
    <xf numFmtId="8" fontId="16" fillId="0" borderId="0" applyFont="0" applyFill="0" applyProtection="0"/>
    <xf numFmtId="8" fontId="16" fillId="0" borderId="0" applyFont="0" applyFill="0" applyProtection="0"/>
    <xf numFmtId="8" fontId="16" fillId="0" borderId="0" applyFont="0" applyFill="0" applyProtection="0"/>
    <xf numFmtId="8" fontId="16" fillId="0" borderId="0" applyFont="0" applyFill="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2"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2" fontId="16" fillId="0" borderId="0" applyFont="0" applyFill="0" applyProtection="0"/>
    <xf numFmtId="12" fontId="16" fillId="0" borderId="0" applyFont="0" applyFill="0" applyProtection="0"/>
    <xf numFmtId="12" fontId="16" fillId="0" borderId="0" applyFont="0" applyFill="0" applyProtection="0"/>
    <xf numFmtId="41" fontId="20"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18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6" fillId="0" borderId="0"/>
    <xf numFmtId="13" fontId="16" fillId="0" borderId="0" applyFont="0" applyFill="0" applyProtection="0"/>
    <xf numFmtId="13" fontId="16" fillId="0" borderId="0" applyFont="0" applyFill="0" applyProtection="0"/>
    <xf numFmtId="13" fontId="16" fillId="0" borderId="0" applyFont="0" applyFill="0" applyProtection="0"/>
    <xf numFmtId="13" fontId="16" fillId="0" borderId="0" applyFont="0" applyFill="0" applyProtection="0"/>
    <xf numFmtId="13" fontId="16" fillId="0" borderId="0" applyFont="0" applyFill="0" applyProtection="0"/>
    <xf numFmtId="9" fontId="16" fillId="0" borderId="0" applyFont="0" applyFill="0" applyBorder="0" applyAlignment="0" applyProtection="0"/>
    <xf numFmtId="0" fontId="16" fillId="0" borderId="0"/>
    <xf numFmtId="0" fontId="16" fillId="0" borderId="0"/>
    <xf numFmtId="0" fontId="16" fillId="0" borderId="0"/>
    <xf numFmtId="0" fontId="24"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3" fontId="18" fillId="0" borderId="0">
      <alignment horizontal="center" vertical="center"/>
    </xf>
    <xf numFmtId="0" fontId="27" fillId="3"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9" fillId="22" borderId="4" applyNumberFormat="0" applyAlignment="0" applyProtection="0"/>
    <xf numFmtId="0" fontId="30" fillId="23" borderId="4" applyNumberFormat="0" applyAlignment="0" applyProtection="0"/>
    <xf numFmtId="0" fontId="30" fillId="23" borderId="4" applyNumberFormat="0" applyAlignment="0" applyProtection="0"/>
    <xf numFmtId="0" fontId="30" fillId="23" borderId="4" applyNumberFormat="0" applyAlignment="0" applyProtection="0"/>
    <xf numFmtId="0" fontId="31" fillId="24" borderId="5" applyNumberFormat="0" applyAlignment="0" applyProtection="0"/>
    <xf numFmtId="0" fontId="31" fillId="24" borderId="5" applyNumberFormat="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1" fillId="24" borderId="5" applyNumberFormat="0" applyAlignment="0" applyProtection="0"/>
    <xf numFmtId="0" fontId="33" fillId="0" borderId="0">
      <alignment horizontal="left" vertical="top"/>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5" fillId="13" borderId="4" applyNumberFormat="0" applyAlignment="0" applyProtection="0"/>
    <xf numFmtId="0" fontId="35" fillId="13" borderId="4" applyNumberFormat="0" applyAlignment="0" applyProtection="0"/>
    <xf numFmtId="0" fontId="35" fillId="13" borderId="4" applyNumberFormat="0" applyAlignment="0" applyProtection="0"/>
    <xf numFmtId="0" fontId="16" fillId="27" borderId="1" applyNumberFormat="0" applyFont="0" applyFill="0" applyBorder="0" applyAlignment="0" applyProtection="0">
      <alignment horizontal="center" vertical="center" wrapText="1"/>
      <protection locked="0"/>
    </xf>
    <xf numFmtId="0" fontId="36" fillId="0" borderId="0" applyNumberFormat="0" applyFill="0" applyBorder="0" applyAlignment="0" applyProtection="0"/>
    <xf numFmtId="0" fontId="37" fillId="0" borderId="0">
      <alignment horizontal="centerContinuous"/>
    </xf>
    <xf numFmtId="0" fontId="28" fillId="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35" fillId="7" borderId="4" applyNumberFormat="0" applyAlignment="0" applyProtection="0"/>
    <xf numFmtId="0" fontId="41" fillId="0" borderId="10" applyNumberFormat="0" applyFill="0" applyAlignment="0" applyProtection="0"/>
    <xf numFmtId="176" fontId="16" fillId="0" borderId="0" applyFont="0" applyFill="0" applyProtection="0"/>
    <xf numFmtId="184" fontId="16" fillId="0" borderId="0" applyFont="0" applyFill="0" applyBorder="0" applyAlignment="0" applyProtection="0"/>
    <xf numFmtId="169"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69" fontId="16" fillId="0" borderId="0" applyFont="0" applyFill="0" applyBorder="0" applyAlignment="0" applyProtection="0"/>
    <xf numFmtId="184"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0" fontId="16" fillId="0" borderId="0" applyFont="0" applyFill="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6" fillId="0" borderId="0"/>
    <xf numFmtId="0" fontId="43" fillId="0" borderId="0"/>
    <xf numFmtId="0" fontId="25" fillId="0" borderId="0"/>
    <xf numFmtId="0" fontId="25" fillId="0" borderId="0"/>
    <xf numFmtId="0" fontId="25" fillId="0" borderId="0"/>
    <xf numFmtId="0" fontId="25" fillId="0" borderId="0"/>
    <xf numFmtId="0" fontId="43"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44" fillId="22" borderId="12" applyNumberFormat="0" applyAlignment="0" applyProtection="0"/>
    <xf numFmtId="13" fontId="16" fillId="0" borderId="0" applyFont="0" applyFill="0" applyProtection="0"/>
    <xf numFmtId="13" fontId="16" fillId="0" borderId="0" applyFont="0" applyFill="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 fontId="16" fillId="0" borderId="0" applyFont="0" applyFill="0" applyBorder="0" applyAlignment="0" applyProtection="0"/>
    <xf numFmtId="0" fontId="44" fillId="23" borderId="12" applyNumberFormat="0" applyAlignment="0" applyProtection="0"/>
    <xf numFmtId="0" fontId="44" fillId="23" borderId="12" applyNumberFormat="0" applyAlignment="0" applyProtection="0"/>
    <xf numFmtId="0" fontId="44" fillId="23" borderId="1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5" fillId="0" borderId="2" applyBorder="0">
      <alignment horizontal="center"/>
    </xf>
    <xf numFmtId="0" fontId="46" fillId="0" borderId="0" applyNumberFormat="0" applyFill="0" applyBorder="0" applyAlignment="0" applyProtection="0"/>
    <xf numFmtId="0" fontId="47" fillId="0" borderId="0">
      <alignment horizontal="left" vertical="top"/>
    </xf>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16" fillId="0" borderId="0">
      <alignment horizontal="left" vertical="top"/>
    </xf>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alignment horizontal="left" vertical="top"/>
    </xf>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45" fillId="0" borderId="0">
      <alignment horizontal="left" vertical="top"/>
    </xf>
    <xf numFmtId="0" fontId="32" fillId="0" borderId="0" applyNumberFormat="0" applyFill="0" applyBorder="0" applyAlignment="0" applyProtection="0"/>
    <xf numFmtId="182"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5" fillId="0" borderId="0"/>
    <xf numFmtId="0" fontId="56" fillId="0" borderId="0"/>
    <xf numFmtId="0" fontId="14" fillId="0" borderId="0"/>
    <xf numFmtId="0" fontId="13" fillId="0" borderId="0"/>
    <xf numFmtId="188" fontId="16" fillId="0" borderId="0"/>
    <xf numFmtId="0" fontId="12" fillId="0" borderId="0"/>
    <xf numFmtId="0" fontId="11" fillId="0" borderId="0"/>
    <xf numFmtId="0" fontId="10" fillId="0" borderId="0"/>
    <xf numFmtId="0" fontId="9" fillId="0" borderId="0"/>
    <xf numFmtId="0" fontId="9"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9" fontId="73" fillId="0" borderId="0" applyFont="0" applyFill="0" applyBorder="0" applyAlignment="0" applyProtection="0"/>
    <xf numFmtId="0" fontId="8" fillId="0" borderId="0"/>
    <xf numFmtId="0" fontId="77" fillId="0" borderId="0" applyNumberForma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20" fillId="0" borderId="0" applyFont="0" applyFill="0" applyBorder="0" applyAlignment="0" applyProtection="0"/>
    <xf numFmtId="0" fontId="29" fillId="22" borderId="30" applyNumberFormat="0" applyAlignment="0" applyProtection="0"/>
    <xf numFmtId="0" fontId="30" fillId="23" borderId="30" applyNumberFormat="0" applyAlignment="0" applyProtection="0"/>
    <xf numFmtId="0" fontId="30" fillId="23" borderId="30" applyNumberFormat="0" applyAlignment="0" applyProtection="0"/>
    <xf numFmtId="0" fontId="30" fillId="23" borderId="30" applyNumberFormat="0" applyAlignment="0" applyProtection="0"/>
    <xf numFmtId="0" fontId="35" fillId="13" borderId="30" applyNumberFormat="0" applyAlignment="0" applyProtection="0"/>
    <xf numFmtId="0" fontId="35" fillId="13" borderId="30" applyNumberFormat="0" applyAlignment="0" applyProtection="0"/>
    <xf numFmtId="0" fontId="35" fillId="13" borderId="30" applyNumberFormat="0" applyAlignment="0" applyProtection="0"/>
    <xf numFmtId="0" fontId="16" fillId="27" borderId="22" applyNumberFormat="0" applyFont="0" applyFill="0" applyBorder="0" applyAlignment="0" applyProtection="0">
      <alignment horizontal="center" vertical="center" wrapText="1"/>
      <protection locked="0"/>
    </xf>
    <xf numFmtId="0" fontId="35" fillId="7" borderId="30" applyNumberFormat="0" applyAlignment="0" applyProtection="0"/>
    <xf numFmtId="0" fontId="16" fillId="10" borderId="31" applyNumberFormat="0" applyFont="0" applyAlignment="0" applyProtection="0"/>
    <xf numFmtId="0" fontId="16" fillId="10" borderId="31" applyNumberFormat="0" applyFont="0" applyAlignment="0" applyProtection="0"/>
    <xf numFmtId="0" fontId="16" fillId="10" borderId="31" applyNumberFormat="0" applyFont="0" applyAlignment="0" applyProtection="0"/>
    <xf numFmtId="0" fontId="16" fillId="10" borderId="31" applyNumberFormat="0" applyFont="0" applyAlignment="0" applyProtection="0"/>
    <xf numFmtId="0" fontId="44" fillId="22" borderId="32" applyNumberFormat="0" applyAlignment="0" applyProtection="0"/>
    <xf numFmtId="0" fontId="44" fillId="23" borderId="32" applyNumberFormat="0" applyAlignment="0" applyProtection="0"/>
    <xf numFmtId="0" fontId="44" fillId="23" borderId="32" applyNumberFormat="0" applyAlignment="0" applyProtection="0"/>
    <xf numFmtId="0" fontId="44" fillId="23" borderId="32" applyNumberFormat="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6" fillId="0" borderId="0" applyFont="0" applyFill="0" applyBorder="0" applyAlignment="0" applyProtection="0"/>
    <xf numFmtId="0" fontId="7" fillId="0" borderId="0"/>
    <xf numFmtId="0" fontId="6" fillId="0" borderId="0"/>
    <xf numFmtId="41" fontId="80" fillId="0" borderId="0" applyFont="0" applyFill="0" applyBorder="0" applyAlignment="0" applyProtection="0"/>
    <xf numFmtId="0" fontId="5" fillId="0" borderId="0"/>
    <xf numFmtId="195" fontId="5" fillId="0" borderId="0" applyFont="0" applyFill="0" applyBorder="0" applyAlignment="0" applyProtection="0"/>
    <xf numFmtId="9" fontId="5" fillId="0" borderId="0" applyFont="0" applyFill="0" applyBorder="0" applyAlignment="0" applyProtection="0"/>
    <xf numFmtId="196" fontId="4" fillId="0" borderId="0" applyFont="0" applyFill="0" applyBorder="0" applyAlignment="0" applyProtection="0"/>
    <xf numFmtId="166" fontId="16" fillId="0" borderId="0" applyFont="0" applyFill="0" applyBorder="0" applyAlignment="0" applyProtection="0"/>
    <xf numFmtId="166" fontId="8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7" fontId="98" fillId="0" borderId="0" applyFont="0" applyFill="0" applyBorder="0" applyAlignment="0" applyProtection="0"/>
    <xf numFmtId="0" fontId="16" fillId="0" borderId="0"/>
    <xf numFmtId="0" fontId="105" fillId="0" borderId="0" applyNumberFormat="0" applyFill="0" applyBorder="0" applyAlignment="0" applyProtection="0"/>
    <xf numFmtId="0" fontId="16" fillId="0" borderId="0"/>
  </cellStyleXfs>
  <cellXfs count="713">
    <xf numFmtId="0" fontId="0" fillId="0" borderId="0" xfId="0"/>
    <xf numFmtId="0" fontId="20" fillId="30" borderId="0" xfId="350" applyFont="1" applyFill="1" applyBorder="1" applyAlignment="1" applyProtection="1">
      <alignment horizontal="center" vertical="center" wrapText="1"/>
    </xf>
    <xf numFmtId="0" fontId="61" fillId="0" borderId="0" xfId="2" applyFont="1" applyFill="1" applyAlignment="1" applyProtection="1">
      <alignment vertical="center" wrapText="1"/>
      <protection hidden="1"/>
    </xf>
    <xf numFmtId="169" fontId="47" fillId="0" borderId="0" xfId="3" applyFont="1" applyFill="1" applyBorder="1" applyAlignment="1" applyProtection="1">
      <alignment vertical="center" wrapText="1"/>
      <protection hidden="1"/>
    </xf>
    <xf numFmtId="169" fontId="47" fillId="0" borderId="0" xfId="3" applyFont="1" applyFill="1" applyAlignment="1" applyProtection="1">
      <alignment horizontal="center" wrapText="1"/>
      <protection hidden="1"/>
    </xf>
    <xf numFmtId="0" fontId="61" fillId="0" borderId="0" xfId="2" applyFont="1" applyFill="1" applyAlignment="1" applyProtection="1">
      <alignment horizontal="center" wrapText="1"/>
      <protection hidden="1"/>
    </xf>
    <xf numFmtId="169" fontId="47" fillId="0" borderId="19" xfId="3" applyFont="1" applyFill="1" applyBorder="1" applyAlignment="1" applyProtection="1">
      <alignment vertical="center" wrapText="1"/>
      <protection hidden="1"/>
    </xf>
    <xf numFmtId="169" fontId="47" fillId="0" borderId="22" xfId="3" applyFont="1" applyFill="1" applyBorder="1" applyAlignment="1" applyProtection="1">
      <alignment horizontal="center" vertical="center" wrapText="1"/>
      <protection hidden="1"/>
    </xf>
    <xf numFmtId="0" fontId="0" fillId="29" borderId="0" xfId="0" applyFill="1" applyAlignment="1" applyProtection="1">
      <alignment vertical="center" wrapText="1"/>
      <protection hidden="1"/>
    </xf>
    <xf numFmtId="0" fontId="63" fillId="0" borderId="0" xfId="351" applyFont="1" applyProtection="1">
      <protection hidden="1"/>
    </xf>
    <xf numFmtId="0" fontId="19" fillId="0" borderId="0" xfId="2" applyFont="1" applyFill="1" applyAlignment="1" applyProtection="1">
      <alignment vertical="center" wrapText="1"/>
      <protection hidden="1"/>
    </xf>
    <xf numFmtId="0" fontId="20" fillId="0" borderId="0" xfId="3" applyNumberFormat="1" applyFont="1" applyFill="1" applyAlignment="1" applyProtection="1">
      <alignment vertical="center" wrapText="1"/>
      <protection hidden="1"/>
    </xf>
    <xf numFmtId="169" fontId="20" fillId="0" borderId="0" xfId="3" applyFont="1" applyFill="1" applyAlignment="1" applyProtection="1">
      <alignment vertical="center" wrapText="1"/>
      <protection hidden="1"/>
    </xf>
    <xf numFmtId="0" fontId="20" fillId="0" borderId="0" xfId="2" applyNumberFormat="1" applyFont="1" applyFill="1" applyBorder="1" applyAlignment="1" applyProtection="1">
      <alignment vertical="center" wrapText="1"/>
      <protection hidden="1"/>
    </xf>
    <xf numFmtId="0" fontId="19" fillId="0" borderId="0" xfId="2" applyNumberFormat="1" applyFont="1" applyFill="1" applyAlignment="1" applyProtection="1">
      <alignment vertical="center" wrapText="1"/>
      <protection hidden="1"/>
    </xf>
    <xf numFmtId="0" fontId="19" fillId="37" borderId="22" xfId="2" applyFont="1" applyFill="1" applyBorder="1" applyAlignment="1" applyProtection="1">
      <alignment horizontal="center" vertical="center" wrapText="1"/>
      <protection hidden="1"/>
    </xf>
    <xf numFmtId="0" fontId="16" fillId="0" borderId="22" xfId="356" applyBorder="1" applyAlignment="1" applyProtection="1">
      <alignment vertical="center"/>
      <protection hidden="1"/>
    </xf>
    <xf numFmtId="173" fontId="19" fillId="0" borderId="0" xfId="3" applyNumberFormat="1" applyFont="1" applyFill="1" applyAlignment="1" applyProtection="1">
      <alignment vertical="center" wrapText="1"/>
      <protection hidden="1"/>
    </xf>
    <xf numFmtId="169" fontId="19" fillId="0" borderId="0" xfId="3" applyFont="1" applyFill="1" applyAlignment="1" applyProtection="1">
      <alignment vertical="center" wrapText="1"/>
      <protection hidden="1"/>
    </xf>
    <xf numFmtId="0" fontId="19" fillId="0" borderId="0" xfId="2" applyFont="1" applyFill="1" applyBorder="1" applyAlignment="1" applyProtection="1">
      <alignment vertical="center" wrapText="1"/>
      <protection hidden="1"/>
    </xf>
    <xf numFmtId="0" fontId="19" fillId="0" borderId="0" xfId="2" applyNumberFormat="1" applyFont="1" applyFill="1" applyAlignment="1" applyProtection="1">
      <alignment horizontal="center" vertical="center" wrapText="1"/>
      <protection hidden="1"/>
    </xf>
    <xf numFmtId="0" fontId="19" fillId="0" borderId="0" xfId="2" applyFont="1" applyFill="1" applyAlignment="1" applyProtection="1">
      <alignment horizontal="center" vertical="center" wrapText="1"/>
      <protection hidden="1"/>
    </xf>
    <xf numFmtId="0" fontId="19" fillId="30" borderId="0" xfId="2" applyFont="1" applyFill="1" applyAlignment="1" applyProtection="1">
      <alignment vertical="center" wrapText="1"/>
      <protection hidden="1"/>
    </xf>
    <xf numFmtId="0" fontId="19" fillId="0" borderId="0" xfId="2" applyFont="1" applyFill="1" applyAlignment="1" applyProtection="1">
      <alignment horizontal="left" vertical="center"/>
      <protection hidden="1"/>
    </xf>
    <xf numFmtId="0" fontId="53" fillId="0" borderId="0" xfId="344" applyFont="1" applyAlignment="1" applyProtection="1">
      <alignment vertical="center"/>
      <protection hidden="1"/>
    </xf>
    <xf numFmtId="0" fontId="16" fillId="0" borderId="0" xfId="0" applyFont="1" applyProtection="1">
      <protection hidden="1"/>
    </xf>
    <xf numFmtId="0" fontId="16" fillId="0" borderId="0" xfId="0" applyFont="1" applyFill="1" applyProtection="1">
      <protection hidden="1"/>
    </xf>
    <xf numFmtId="0" fontId="16" fillId="0" borderId="22" xfId="0" applyFont="1" applyBorder="1" applyAlignment="1" applyProtection="1">
      <alignment horizontal="center" vertical="center"/>
      <protection hidden="1"/>
    </xf>
    <xf numFmtId="0" fontId="0" fillId="0" borderId="0" xfId="0" applyProtection="1">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57" fillId="0" borderId="0" xfId="349" applyFont="1" applyProtection="1">
      <protection hidden="1"/>
    </xf>
    <xf numFmtId="0" fontId="0" fillId="0" borderId="0" xfId="0" applyAlignment="1" applyProtection="1">
      <alignment vertical="center"/>
      <protection hidden="1"/>
    </xf>
    <xf numFmtId="0" fontId="61" fillId="0" borderId="0" xfId="0" applyFont="1" applyAlignment="1" applyProtection="1">
      <alignment vertical="center"/>
      <protection hidden="1"/>
    </xf>
    <xf numFmtId="0" fontId="18" fillId="37" borderId="22" xfId="0" applyNumberFormat="1" applyFont="1" applyFill="1" applyBorder="1" applyAlignment="1" applyProtection="1">
      <alignment horizontal="center" vertical="center"/>
      <protection hidden="1"/>
    </xf>
    <xf numFmtId="0" fontId="57" fillId="0" borderId="0" xfId="349" applyFont="1" applyAlignment="1" applyProtection="1">
      <alignment vertical="center"/>
      <protection hidden="1"/>
    </xf>
    <xf numFmtId="0" fontId="20" fillId="0" borderId="0" xfId="0" applyFont="1" applyFill="1" applyBorder="1" applyAlignment="1" applyProtection="1">
      <alignment vertical="center"/>
      <protection hidden="1"/>
    </xf>
    <xf numFmtId="185" fontId="18" fillId="29" borderId="22" xfId="0" applyNumberFormat="1" applyFont="1" applyFill="1" applyBorder="1" applyAlignment="1" applyProtection="1">
      <alignment horizontal="center" vertical="center"/>
      <protection hidden="1"/>
    </xf>
    <xf numFmtId="185" fontId="0" fillId="0" borderId="22" xfId="0" applyNumberFormat="1" applyBorder="1" applyAlignment="1" applyProtection="1">
      <alignment horizontal="center" vertical="center"/>
      <protection hidden="1"/>
    </xf>
    <xf numFmtId="0" fontId="0" fillId="0" borderId="0" xfId="0" applyFill="1" applyProtection="1">
      <protection hidden="1"/>
    </xf>
    <xf numFmtId="0" fontId="16" fillId="0" borderId="0" xfId="0" applyFont="1" applyAlignment="1" applyProtection="1">
      <alignment horizontal="center" vertical="center"/>
      <protection hidden="1"/>
    </xf>
    <xf numFmtId="0" fontId="57" fillId="0" borderId="0" xfId="349" applyFont="1" applyBorder="1" applyProtection="1">
      <protection hidden="1"/>
    </xf>
    <xf numFmtId="2" fontId="47" fillId="0" borderId="22" xfId="3" applyNumberFormat="1" applyFont="1" applyFill="1" applyBorder="1" applyAlignment="1" applyProtection="1">
      <alignment horizontal="center" vertical="center" wrapText="1"/>
      <protection hidden="1"/>
    </xf>
    <xf numFmtId="191" fontId="16" fillId="0" borderId="22" xfId="0" applyNumberFormat="1" applyFont="1" applyBorder="1" applyAlignment="1" applyProtection="1">
      <alignment horizontal="center" vertical="center"/>
      <protection hidden="1"/>
    </xf>
    <xf numFmtId="0" fontId="0" fillId="0" borderId="0" xfId="0" applyFill="1" applyAlignment="1" applyProtection="1">
      <protection hidden="1"/>
    </xf>
    <xf numFmtId="0" fontId="0" fillId="0" borderId="22" xfId="0" applyFill="1" applyBorder="1" applyAlignment="1" applyProtection="1">
      <alignment horizontal="center" vertical="center"/>
      <protection hidden="1"/>
    </xf>
    <xf numFmtId="0" fontId="0" fillId="0" borderId="0" xfId="0" applyFill="1" applyBorder="1" applyProtection="1">
      <protection hidden="1"/>
    </xf>
    <xf numFmtId="0" fontId="16" fillId="0" borderId="0" xfId="0" applyFont="1" applyFill="1" applyBorder="1" applyAlignment="1" applyProtection="1">
      <alignment vertical="center"/>
      <protection hidden="1"/>
    </xf>
    <xf numFmtId="0" fontId="92" fillId="31" borderId="0" xfId="350" applyFont="1" applyFill="1" applyAlignment="1" applyProtection="1">
      <alignment vertical="center"/>
    </xf>
    <xf numFmtId="0" fontId="3" fillId="0" borderId="0" xfId="350" applyFont="1" applyFill="1" applyAlignment="1" applyProtection="1">
      <alignment vertical="center"/>
      <protection locked="0"/>
    </xf>
    <xf numFmtId="0" fontId="96" fillId="33" borderId="22" xfId="350" applyFont="1" applyFill="1" applyBorder="1" applyAlignment="1" applyProtection="1">
      <alignment horizontal="center" vertical="center" wrapText="1"/>
    </xf>
    <xf numFmtId="0" fontId="92" fillId="33" borderId="22" xfId="350" applyFont="1" applyFill="1" applyBorder="1" applyAlignment="1" applyProtection="1">
      <alignment horizontal="center" vertical="center" wrapText="1"/>
    </xf>
    <xf numFmtId="0" fontId="3" fillId="0" borderId="0" xfId="350" applyFont="1" applyFill="1" applyBorder="1" applyAlignment="1" applyProtection="1">
      <alignment vertical="center"/>
      <protection locked="0"/>
    </xf>
    <xf numFmtId="0" fontId="3" fillId="0" borderId="0" xfId="350" applyFont="1" applyAlignment="1" applyProtection="1">
      <alignment vertical="center"/>
      <protection locked="0"/>
    </xf>
    <xf numFmtId="0" fontId="47" fillId="0" borderId="70" xfId="3" applyNumberFormat="1" applyFont="1" applyFill="1" applyBorder="1" applyAlignment="1" applyProtection="1">
      <alignment horizontal="center" vertical="center" wrapText="1"/>
      <protection hidden="1"/>
    </xf>
    <xf numFmtId="169" fontId="47" fillId="0" borderId="0" xfId="3" applyFont="1" applyFill="1" applyAlignment="1" applyProtection="1">
      <alignment horizontal="center" vertical="center" wrapText="1"/>
      <protection hidden="1"/>
    </xf>
    <xf numFmtId="0" fontId="61" fillId="0" borderId="0" xfId="2" applyFont="1" applyFill="1" applyAlignment="1" applyProtection="1">
      <alignment horizontal="center" vertical="center" wrapText="1"/>
      <protection hidden="1"/>
    </xf>
    <xf numFmtId="14" fontId="3" fillId="0" borderId="0" xfId="350" applyNumberFormat="1" applyFont="1" applyAlignment="1" applyProtection="1">
      <alignment vertical="center"/>
      <protection locked="0"/>
    </xf>
    <xf numFmtId="0" fontId="92" fillId="0" borderId="0" xfId="350" applyFont="1" applyFill="1" applyAlignment="1" applyProtection="1">
      <alignment vertical="center"/>
      <protection locked="0"/>
    </xf>
    <xf numFmtId="0" fontId="18" fillId="0" borderId="0" xfId="0" applyFont="1" applyAlignment="1" applyProtection="1">
      <alignment horizontal="center" vertical="center"/>
      <protection hidden="1"/>
    </xf>
    <xf numFmtId="0" fontId="99" fillId="0" borderId="74" xfId="359" applyFont="1" applyBorder="1" applyAlignment="1" applyProtection="1">
      <alignment horizontal="center" vertical="center"/>
      <protection locked="0"/>
    </xf>
    <xf numFmtId="169" fontId="47" fillId="0" borderId="70" xfId="3" applyFont="1" applyFill="1" applyBorder="1" applyAlignment="1" applyProtection="1">
      <alignment horizontal="center" vertical="center" wrapText="1"/>
      <protection hidden="1"/>
    </xf>
    <xf numFmtId="173" fontId="47" fillId="0" borderId="70" xfId="3" applyNumberFormat="1" applyFont="1" applyFill="1" applyBorder="1" applyAlignment="1" applyProtection="1">
      <alignment vertical="center" wrapText="1"/>
      <protection hidden="1"/>
    </xf>
    <xf numFmtId="0" fontId="19" fillId="0" borderId="22" xfId="356" applyFont="1" applyBorder="1" applyAlignment="1" applyProtection="1">
      <alignment horizontal="center" vertical="center"/>
      <protection hidden="1"/>
    </xf>
    <xf numFmtId="0" fontId="19" fillId="0" borderId="22" xfId="356" applyFont="1" applyBorder="1" applyAlignment="1" applyProtection="1">
      <alignment vertical="center"/>
      <protection hidden="1"/>
    </xf>
    <xf numFmtId="1" fontId="57" fillId="0" borderId="70" xfId="349" applyNumberFormat="1" applyFont="1" applyBorder="1" applyAlignment="1" applyProtection="1">
      <alignment horizontal="center" vertical="center"/>
      <protection hidden="1"/>
    </xf>
    <xf numFmtId="190" fontId="57" fillId="0" borderId="70" xfId="349" applyNumberFormat="1" applyFont="1" applyBorder="1" applyAlignment="1" applyProtection="1">
      <alignment horizontal="center" vertical="center"/>
      <protection hidden="1"/>
    </xf>
    <xf numFmtId="190" fontId="57" fillId="0" borderId="0" xfId="349" applyNumberFormat="1" applyFont="1" applyProtection="1">
      <protection hidden="1"/>
    </xf>
    <xf numFmtId="0" fontId="79" fillId="31" borderId="21" xfId="2" applyFont="1" applyFill="1" applyBorder="1" applyAlignment="1" applyProtection="1">
      <alignment vertical="center" wrapText="1"/>
      <protection hidden="1"/>
    </xf>
    <xf numFmtId="185" fontId="0" fillId="0" borderId="0" xfId="0" applyNumberFormat="1" applyFill="1" applyBorder="1" applyAlignment="1" applyProtection="1">
      <alignment horizontal="center" vertical="center"/>
      <protection hidden="1"/>
    </xf>
    <xf numFmtId="193" fontId="0" fillId="0" borderId="0" xfId="1" applyNumberFormat="1" applyFont="1" applyFill="1" applyBorder="1" applyAlignment="1" applyProtection="1">
      <alignment horizontal="center" vertical="center"/>
      <protection hidden="1"/>
    </xf>
    <xf numFmtId="1" fontId="47" fillId="0" borderId="0" xfId="0" applyNumberFormat="1"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20" fillId="0" borderId="0" xfId="0" applyFont="1" applyFill="1" applyBorder="1" applyAlignment="1" applyProtection="1">
      <alignment horizontal="center" vertical="center"/>
      <protection hidden="1"/>
    </xf>
    <xf numFmtId="193" fontId="0" fillId="37" borderId="70" xfId="1" applyNumberFormat="1" applyFont="1" applyFill="1" applyBorder="1" applyAlignment="1" applyProtection="1">
      <alignment horizontal="center" vertical="center"/>
      <protection hidden="1"/>
    </xf>
    <xf numFmtId="0" fontId="120" fillId="0" borderId="70" xfId="0" applyFont="1" applyBorder="1" applyAlignment="1">
      <alignment vertical="center" wrapText="1"/>
    </xf>
    <xf numFmtId="0" fontId="0" fillId="0" borderId="70" xfId="0" applyBorder="1"/>
    <xf numFmtId="0" fontId="0" fillId="0" borderId="70" xfId="0" applyBorder="1" applyAlignment="1">
      <alignment horizontal="center"/>
    </xf>
    <xf numFmtId="0" fontId="120" fillId="0" borderId="70" xfId="0" applyFont="1" applyFill="1" applyBorder="1"/>
    <xf numFmtId="0" fontId="20" fillId="0" borderId="26"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22" xfId="2" applyFont="1" applyBorder="1" applyAlignment="1" applyProtection="1">
      <alignment horizontal="center" vertical="center" wrapText="1"/>
    </xf>
    <xf numFmtId="0" fontId="61" fillId="0" borderId="22" xfId="0" applyNumberFormat="1" applyFont="1" applyFill="1" applyBorder="1" applyAlignment="1" applyProtection="1">
      <alignment horizontal="center" vertical="center" wrapText="1"/>
    </xf>
    <xf numFmtId="0" fontId="61" fillId="0" borderId="28" xfId="351" applyFont="1" applyBorder="1" applyAlignment="1" applyProtection="1">
      <alignment horizontal="left" vertical="center" wrapText="1"/>
    </xf>
    <xf numFmtId="0" fontId="61" fillId="0" borderId="0" xfId="0" applyNumberFormat="1" applyFont="1" applyFill="1" applyBorder="1" applyAlignment="1" applyProtection="1">
      <alignment horizontal="center" vertical="center" wrapText="1"/>
    </xf>
    <xf numFmtId="0" fontId="61" fillId="0" borderId="0" xfId="0" applyFont="1" applyBorder="1" applyAlignment="1" applyProtection="1">
      <alignment vertical="center"/>
    </xf>
    <xf numFmtId="49" fontId="61" fillId="0" borderId="0" xfId="0" applyNumberFormat="1" applyFont="1" applyFill="1" applyBorder="1" applyAlignment="1" applyProtection="1">
      <alignment horizontal="center" vertical="center" wrapText="1"/>
    </xf>
    <xf numFmtId="0" fontId="47" fillId="30" borderId="20" xfId="351" applyFont="1" applyFill="1" applyBorder="1" applyAlignment="1" applyProtection="1">
      <alignment wrapText="1"/>
    </xf>
    <xf numFmtId="0" fontId="47" fillId="30" borderId="21" xfId="351" applyFont="1" applyFill="1" applyBorder="1" applyAlignment="1" applyProtection="1">
      <alignment vertical="center" wrapText="1"/>
    </xf>
    <xf numFmtId="0" fontId="47" fillId="30" borderId="17" xfId="351" applyFont="1" applyFill="1" applyBorder="1" applyAlignment="1" applyProtection="1">
      <alignment vertical="center" wrapText="1"/>
    </xf>
    <xf numFmtId="0" fontId="47" fillId="29" borderId="22" xfId="351" applyFont="1" applyFill="1" applyBorder="1" applyAlignment="1" applyProtection="1">
      <alignment horizontal="center" vertical="center"/>
    </xf>
    <xf numFmtId="0" fontId="47" fillId="29" borderId="22" xfId="351" applyFont="1" applyFill="1" applyBorder="1" applyAlignment="1" applyProtection="1">
      <alignment horizontal="center" vertical="center" wrapText="1"/>
    </xf>
    <xf numFmtId="0" fontId="61" fillId="0" borderId="28" xfId="351" applyNumberFormat="1" applyFont="1" applyBorder="1" applyAlignment="1" applyProtection="1">
      <alignment horizontal="center" vertical="center"/>
    </xf>
    <xf numFmtId="0" fontId="61" fillId="31" borderId="28" xfId="351" applyFont="1" applyFill="1" applyBorder="1" applyAlignment="1" applyProtection="1">
      <alignment horizontal="center" vertical="center"/>
    </xf>
    <xf numFmtId="21" fontId="61" fillId="31" borderId="28" xfId="351" applyNumberFormat="1" applyFont="1" applyFill="1" applyBorder="1" applyAlignment="1" applyProtection="1">
      <alignment horizontal="center" vertical="center"/>
    </xf>
    <xf numFmtId="0" fontId="61" fillId="0" borderId="28" xfId="351" applyFont="1" applyBorder="1" applyAlignment="1" applyProtection="1">
      <alignment horizontal="center" vertical="center" wrapText="1"/>
    </xf>
    <xf numFmtId="3" fontId="61" fillId="31" borderId="28" xfId="351" applyNumberFormat="1" applyFont="1" applyFill="1" applyBorder="1" applyAlignment="1" applyProtection="1">
      <alignment horizontal="center" vertical="center" wrapText="1"/>
    </xf>
    <xf numFmtId="0" fontId="61" fillId="31" borderId="28" xfId="351" applyFont="1" applyFill="1" applyBorder="1" applyAlignment="1" applyProtection="1">
      <alignment horizontal="center" vertical="center" wrapText="1"/>
    </xf>
    <xf numFmtId="191" fontId="61" fillId="31" borderId="28" xfId="351" applyNumberFormat="1" applyFont="1" applyFill="1" applyBorder="1" applyAlignment="1" applyProtection="1">
      <alignment horizontal="center" vertical="center" wrapText="1"/>
    </xf>
    <xf numFmtId="0" fontId="61" fillId="31" borderId="28" xfId="351" applyFont="1" applyFill="1" applyBorder="1" applyAlignment="1" applyProtection="1">
      <alignment horizontal="left" vertical="center" wrapText="1"/>
    </xf>
    <xf numFmtId="0" fontId="61" fillId="0" borderId="0" xfId="351" applyFont="1" applyProtection="1"/>
    <xf numFmtId="0" fontId="3" fillId="31" borderId="0" xfId="350" applyFont="1" applyFill="1" applyAlignment="1" applyProtection="1">
      <alignment vertical="center"/>
    </xf>
    <xf numFmtId="0" fontId="20" fillId="30" borderId="3" xfId="350" applyFont="1" applyFill="1" applyBorder="1" applyAlignment="1" applyProtection="1">
      <alignment horizontal="center" vertical="center" wrapText="1"/>
    </xf>
    <xf numFmtId="0" fontId="3" fillId="33" borderId="22" xfId="350" applyFont="1" applyFill="1" applyBorder="1" applyAlignment="1" applyProtection="1">
      <alignment horizontal="center" vertical="center" wrapText="1"/>
    </xf>
    <xf numFmtId="0" fontId="3" fillId="30" borderId="22" xfId="350" applyFont="1" applyFill="1" applyBorder="1" applyAlignment="1" applyProtection="1">
      <alignment horizontal="center" vertical="center" wrapText="1"/>
    </xf>
    <xf numFmtId="0" fontId="20" fillId="30" borderId="22" xfId="350" applyFont="1" applyFill="1" applyBorder="1" applyAlignment="1" applyProtection="1">
      <alignment vertical="center" wrapText="1"/>
    </xf>
    <xf numFmtId="0" fontId="92" fillId="30" borderId="22" xfId="350" applyFont="1" applyFill="1" applyBorder="1" applyAlignment="1" applyProtection="1">
      <alignment horizontal="center" vertical="center" wrapText="1"/>
    </xf>
    <xf numFmtId="0" fontId="92" fillId="32" borderId="22" xfId="350" applyFont="1" applyFill="1" applyBorder="1" applyAlignment="1" applyProtection="1">
      <alignment horizontal="center" vertical="center" wrapText="1"/>
    </xf>
    <xf numFmtId="0" fontId="20" fillId="32" borderId="22" xfId="350" applyFont="1" applyFill="1" applyBorder="1" applyAlignment="1" applyProtection="1">
      <alignment vertical="center"/>
    </xf>
    <xf numFmtId="0" fontId="3" fillId="32" borderId="22" xfId="350" applyFont="1" applyFill="1" applyBorder="1" applyAlignment="1" applyProtection="1">
      <alignment vertical="center"/>
    </xf>
    <xf numFmtId="0" fontId="3" fillId="32" borderId="22" xfId="350" applyFont="1" applyFill="1" applyBorder="1" applyAlignment="1" applyProtection="1">
      <alignment horizontal="center" vertical="center" wrapText="1"/>
    </xf>
    <xf numFmtId="0" fontId="2" fillId="32" borderId="22" xfId="350" applyFont="1" applyFill="1" applyBorder="1" applyAlignment="1" applyProtection="1">
      <alignment horizontal="justify" vertical="center" wrapText="1"/>
    </xf>
    <xf numFmtId="0" fontId="97" fillId="0" borderId="22" xfId="350" applyFont="1" applyFill="1" applyBorder="1" applyAlignment="1" applyProtection="1">
      <alignment horizontal="center" vertical="center" wrapText="1"/>
    </xf>
    <xf numFmtId="0" fontId="3" fillId="0" borderId="70" xfId="419" applyFont="1" applyFill="1" applyBorder="1" applyAlignment="1" applyProtection="1">
      <alignment horizontal="justify" vertical="center" wrapText="1"/>
    </xf>
    <xf numFmtId="0" fontId="3" fillId="32" borderId="22" xfId="350" applyFont="1" applyFill="1" applyBorder="1" applyAlignment="1" applyProtection="1">
      <alignment horizontal="justify" vertical="center" wrapText="1"/>
    </xf>
    <xf numFmtId="0" fontId="3" fillId="0" borderId="22" xfId="350" applyFont="1" applyFill="1" applyBorder="1" applyAlignment="1" applyProtection="1">
      <alignment horizontal="center" vertical="center" wrapText="1"/>
    </xf>
    <xf numFmtId="0" fontId="3" fillId="32" borderId="70" xfId="350" applyFont="1" applyFill="1" applyBorder="1" applyAlignment="1" applyProtection="1">
      <alignment horizontal="justify" vertical="center" wrapText="1"/>
    </xf>
    <xf numFmtId="0" fontId="97" fillId="0" borderId="70" xfId="350" applyFont="1" applyFill="1" applyBorder="1" applyAlignment="1" applyProtection="1">
      <alignment horizontal="center" vertical="center" wrapText="1"/>
    </xf>
    <xf numFmtId="164" fontId="3" fillId="0" borderId="22" xfId="350" applyNumberFormat="1" applyFont="1" applyFill="1" applyBorder="1" applyAlignment="1" applyProtection="1">
      <alignment horizontal="center" vertical="center"/>
    </xf>
    <xf numFmtId="164" fontId="3" fillId="0" borderId="70" xfId="419" applyNumberFormat="1" applyFont="1" applyFill="1" applyBorder="1" applyAlignment="1" applyProtection="1">
      <alignment horizontal="justify" vertical="center" wrapText="1"/>
    </xf>
    <xf numFmtId="165" fontId="3" fillId="0" borderId="70" xfId="419" applyNumberFormat="1" applyFont="1" applyFill="1" applyBorder="1" applyAlignment="1" applyProtection="1">
      <alignment horizontal="justify" vertical="center" wrapText="1"/>
    </xf>
    <xf numFmtId="0" fontId="2" fillId="32" borderId="28" xfId="350" applyFont="1" applyFill="1" applyBorder="1" applyAlignment="1" applyProtection="1">
      <alignment horizontal="center" vertical="center" wrapText="1"/>
    </xf>
    <xf numFmtId="0" fontId="2" fillId="32" borderId="70" xfId="350" applyFont="1" applyFill="1" applyBorder="1" applyAlignment="1" applyProtection="1">
      <alignment horizontal="justify" vertical="center" wrapText="1"/>
    </xf>
    <xf numFmtId="164" fontId="3" fillId="0" borderId="70" xfId="350" applyNumberFormat="1" applyFont="1" applyFill="1" applyBorder="1" applyAlignment="1" applyProtection="1">
      <alignment horizontal="center" vertical="center"/>
    </xf>
    <xf numFmtId="0" fontId="3" fillId="0" borderId="0" xfId="419" applyFont="1" applyFill="1" applyBorder="1" applyAlignment="1" applyProtection="1">
      <alignment horizontal="justify" vertical="center" wrapText="1"/>
    </xf>
    <xf numFmtId="0" fontId="92" fillId="35" borderId="22" xfId="350" applyFont="1" applyFill="1" applyBorder="1" applyAlignment="1" applyProtection="1">
      <alignment horizontal="center" vertical="center" wrapText="1"/>
    </xf>
    <xf numFmtId="0" fontId="20" fillId="35" borderId="22" xfId="350" applyFont="1" applyFill="1" applyBorder="1" applyAlignment="1" applyProtection="1">
      <alignment horizontal="left" vertical="center"/>
    </xf>
    <xf numFmtId="0" fontId="3" fillId="35" borderId="22" xfId="350" applyFont="1" applyFill="1" applyBorder="1" applyAlignment="1" applyProtection="1">
      <alignment horizontal="left" vertical="center" wrapText="1"/>
    </xf>
    <xf numFmtId="0" fontId="3" fillId="35" borderId="0" xfId="419" applyFont="1" applyFill="1" applyAlignment="1" applyProtection="1">
      <alignment horizontal="justify" vertical="center"/>
    </xf>
    <xf numFmtId="0" fontId="92" fillId="35" borderId="22" xfId="350" applyFont="1" applyFill="1" applyBorder="1" applyAlignment="1" applyProtection="1">
      <alignment horizontal="center" vertical="center"/>
    </xf>
    <xf numFmtId="0" fontId="20" fillId="35" borderId="22" xfId="350" applyFont="1" applyFill="1" applyBorder="1" applyAlignment="1" applyProtection="1">
      <alignment vertical="center"/>
    </xf>
    <xf numFmtId="0" fontId="3" fillId="35" borderId="22" xfId="350" applyFont="1" applyFill="1" applyBorder="1" applyAlignment="1" applyProtection="1">
      <alignment horizontal="justify" vertical="center"/>
    </xf>
    <xf numFmtId="0" fontId="3" fillId="35" borderId="22" xfId="350" applyFont="1" applyFill="1" applyBorder="1" applyAlignment="1" applyProtection="1">
      <alignment horizontal="center" vertical="center"/>
    </xf>
    <xf numFmtId="0" fontId="1" fillId="35" borderId="70" xfId="350" applyFont="1" applyFill="1" applyBorder="1" applyAlignment="1" applyProtection="1">
      <alignment horizontal="justify" vertical="center" wrapText="1"/>
    </xf>
    <xf numFmtId="0" fontId="19" fillId="0" borderId="70" xfId="350" applyFont="1" applyFill="1" applyBorder="1" applyAlignment="1" applyProtection="1">
      <alignment horizontal="center" vertical="center"/>
    </xf>
    <xf numFmtId="0" fontId="19" fillId="0" borderId="70" xfId="350" applyFont="1" applyFill="1" applyBorder="1" applyAlignment="1" applyProtection="1">
      <alignment horizontal="center" vertical="center" wrapText="1"/>
    </xf>
    <xf numFmtId="0" fontId="97" fillId="35" borderId="22" xfId="0" applyFont="1" applyFill="1" applyBorder="1" applyAlignment="1" applyProtection="1">
      <alignment horizontal="justify" vertical="center" wrapText="1"/>
    </xf>
    <xf numFmtId="0" fontId="1" fillId="0" borderId="70" xfId="350" applyFont="1" applyFill="1" applyBorder="1" applyAlignment="1" applyProtection="1">
      <alignment horizontal="center" vertical="center"/>
    </xf>
    <xf numFmtId="0" fontId="19" fillId="0" borderId="70" xfId="415" applyFont="1" applyBorder="1" applyAlignment="1" applyProtection="1">
      <alignment horizontal="center" vertical="center" wrapText="1"/>
    </xf>
    <xf numFmtId="0" fontId="97" fillId="35" borderId="70" xfId="0" applyFont="1" applyFill="1" applyBorder="1" applyAlignment="1" applyProtection="1">
      <alignment horizontal="justify" vertical="center" wrapText="1"/>
    </xf>
    <xf numFmtId="164" fontId="19" fillId="0" borderId="70" xfId="350" applyNumberFormat="1" applyFont="1" applyFill="1" applyBorder="1" applyAlignment="1" applyProtection="1">
      <alignment horizontal="center" vertical="center"/>
    </xf>
    <xf numFmtId="171" fontId="19" fillId="0" borderId="70" xfId="435" applyNumberFormat="1" applyFont="1" applyFill="1" applyBorder="1" applyAlignment="1" applyProtection="1">
      <alignment horizontal="center" vertical="center" wrapText="1"/>
    </xf>
    <xf numFmtId="1" fontId="19" fillId="0" borderId="70" xfId="350" applyNumberFormat="1" applyFont="1" applyFill="1" applyBorder="1" applyAlignment="1" applyProtection="1">
      <alignment horizontal="center" vertical="center"/>
    </xf>
    <xf numFmtId="0" fontId="96" fillId="35" borderId="22" xfId="0" applyFont="1" applyFill="1" applyBorder="1" applyAlignment="1" applyProtection="1">
      <alignment horizontal="justify" vertical="center" wrapText="1"/>
    </xf>
    <xf numFmtId="0" fontId="18" fillId="0" borderId="70" xfId="344" applyFont="1" applyFill="1" applyBorder="1" applyAlignment="1" applyProtection="1">
      <alignment horizontal="center" vertical="center" wrapText="1"/>
    </xf>
    <xf numFmtId="0" fontId="19" fillId="0" borderId="0" xfId="2" applyFont="1" applyFill="1" applyAlignment="1" applyProtection="1">
      <alignment vertical="center" wrapText="1"/>
    </xf>
    <xf numFmtId="0" fontId="20" fillId="0" borderId="0" xfId="3" applyNumberFormat="1" applyFont="1" applyFill="1" applyAlignment="1" applyProtection="1">
      <alignment vertical="center" wrapText="1"/>
    </xf>
    <xf numFmtId="169" fontId="20" fillId="0" borderId="0" xfId="3" applyFont="1" applyFill="1" applyAlignment="1" applyProtection="1">
      <alignment horizontal="center" vertical="center" wrapText="1"/>
    </xf>
    <xf numFmtId="169" fontId="20" fillId="0" borderId="0" xfId="3" applyFont="1" applyFill="1" applyAlignment="1" applyProtection="1">
      <alignment vertical="center" wrapText="1"/>
    </xf>
    <xf numFmtId="169" fontId="20" fillId="33" borderId="22" xfId="3" applyFont="1" applyFill="1" applyBorder="1" applyAlignment="1" applyProtection="1">
      <alignment horizontal="center" vertical="center" wrapText="1"/>
    </xf>
    <xf numFmtId="169" fontId="17" fillId="33" borderId="22" xfId="3" applyFont="1" applyFill="1" applyBorder="1" applyAlignment="1" applyProtection="1">
      <alignment horizontal="center" vertical="center" wrapText="1"/>
    </xf>
    <xf numFmtId="179" fontId="17" fillId="37" borderId="22" xfId="3" applyNumberFormat="1" applyFont="1" applyFill="1" applyBorder="1" applyAlignment="1" applyProtection="1">
      <alignment horizontal="center" vertical="center" wrapText="1"/>
    </xf>
    <xf numFmtId="172" fontId="17" fillId="33" borderId="22" xfId="3" applyNumberFormat="1" applyFont="1" applyFill="1" applyBorder="1" applyAlignment="1" applyProtection="1">
      <alignment horizontal="center" vertical="center" wrapText="1"/>
    </xf>
    <xf numFmtId="0" fontId="20" fillId="0" borderId="0" xfId="2" applyNumberFormat="1" applyFont="1" applyFill="1" applyBorder="1" applyAlignment="1" applyProtection="1">
      <alignment vertical="center" wrapText="1"/>
    </xf>
    <xf numFmtId="170" fontId="20" fillId="0" borderId="0" xfId="3" applyNumberFormat="1" applyFont="1" applyFill="1" applyBorder="1" applyAlignment="1" applyProtection="1">
      <alignment vertical="center" wrapText="1"/>
    </xf>
    <xf numFmtId="171" fontId="19" fillId="0" borderId="0" xfId="3" applyNumberFormat="1" applyFont="1" applyFill="1" applyBorder="1" applyAlignment="1" applyProtection="1">
      <alignment horizontal="right" vertical="center" wrapText="1"/>
    </xf>
    <xf numFmtId="172" fontId="19" fillId="0" borderId="0" xfId="3" applyNumberFormat="1" applyFont="1" applyFill="1" applyBorder="1" applyAlignment="1" applyProtection="1">
      <alignment vertical="center" wrapText="1"/>
    </xf>
    <xf numFmtId="3" fontId="20" fillId="0" borderId="0" xfId="3" applyNumberFormat="1" applyFont="1" applyFill="1" applyBorder="1" applyAlignment="1" applyProtection="1">
      <alignment vertical="center" wrapText="1"/>
    </xf>
    <xf numFmtId="0" fontId="19" fillId="0" borderId="0" xfId="2" applyNumberFormat="1" applyFont="1" applyFill="1" applyAlignment="1" applyProtection="1">
      <alignment vertical="center" wrapText="1"/>
    </xf>
    <xf numFmtId="173" fontId="19" fillId="0" borderId="0" xfId="3" applyNumberFormat="1" applyFont="1" applyFill="1" applyAlignment="1" applyProtection="1">
      <alignment vertical="center" wrapText="1"/>
    </xf>
    <xf numFmtId="169" fontId="19" fillId="0" borderId="0" xfId="3" applyFont="1" applyFill="1" applyAlignment="1" applyProtection="1">
      <alignment vertical="center" wrapText="1"/>
    </xf>
    <xf numFmtId="0" fontId="81" fillId="37" borderId="22" xfId="3" applyNumberFormat="1" applyFont="1" applyFill="1" applyBorder="1" applyAlignment="1" applyProtection="1">
      <alignment horizontal="center" vertical="center" wrapText="1"/>
    </xf>
    <xf numFmtId="0" fontId="82" fillId="37" borderId="22" xfId="0" applyNumberFormat="1" applyFont="1" applyFill="1" applyBorder="1" applyAlignment="1" applyProtection="1">
      <alignment horizontal="center" vertical="center" wrapText="1"/>
    </xf>
    <xf numFmtId="0" fontId="61" fillId="0" borderId="0" xfId="2" applyFont="1" applyFill="1" applyAlignment="1" applyProtection="1">
      <alignment vertical="center" wrapText="1"/>
    </xf>
    <xf numFmtId="0" fontId="47" fillId="33" borderId="22" xfId="2" applyNumberFormat="1" applyFont="1" applyFill="1" applyBorder="1" applyAlignment="1" applyProtection="1">
      <alignment horizontal="center" vertical="center" wrapText="1"/>
    </xf>
    <xf numFmtId="9" fontId="47" fillId="33" borderId="22" xfId="2" applyNumberFormat="1" applyFont="1" applyFill="1" applyBorder="1" applyAlignment="1" applyProtection="1">
      <alignment horizontal="center" vertical="center" wrapText="1"/>
    </xf>
    <xf numFmtId="0" fontId="17" fillId="34" borderId="22" xfId="0" applyFont="1" applyFill="1" applyBorder="1" applyAlignment="1" applyProtection="1">
      <alignment horizontal="center" vertical="center"/>
    </xf>
    <xf numFmtId="4" fontId="17" fillId="0" borderId="22" xfId="2" applyNumberFormat="1" applyFont="1" applyFill="1" applyBorder="1" applyAlignment="1" applyProtection="1">
      <alignment horizontal="center" vertical="center" wrapText="1"/>
    </xf>
    <xf numFmtId="192" fontId="17" fillId="0" borderId="22" xfId="2" applyNumberFormat="1" applyFont="1" applyFill="1" applyBorder="1" applyAlignment="1" applyProtection="1">
      <alignment horizontal="center" vertical="center" wrapText="1"/>
    </xf>
    <xf numFmtId="169" fontId="47" fillId="0" borderId="0" xfId="3" applyFont="1" applyFill="1" applyBorder="1" applyAlignment="1" applyProtection="1">
      <alignment vertical="center" wrapText="1"/>
    </xf>
    <xf numFmtId="0" fontId="47" fillId="33" borderId="22" xfId="2" applyNumberFormat="1" applyFont="1" applyFill="1" applyBorder="1" applyAlignment="1" applyProtection="1">
      <alignment horizontal="center" wrapText="1"/>
    </xf>
    <xf numFmtId="0" fontId="19" fillId="0" borderId="0" xfId="2" applyNumberFormat="1" applyFont="1" applyFill="1" applyAlignment="1" applyProtection="1">
      <alignment horizontal="center" vertical="center" wrapText="1"/>
    </xf>
    <xf numFmtId="0" fontId="19" fillId="0" borderId="0" xfId="2" applyFont="1" applyFill="1" applyAlignment="1" applyProtection="1">
      <alignment horizontal="center" vertical="center" wrapText="1"/>
    </xf>
    <xf numFmtId="0" fontId="17" fillId="30" borderId="0" xfId="2" applyFont="1" applyFill="1" applyBorder="1" applyAlignment="1" applyProtection="1">
      <alignment horizontal="center" vertical="center" wrapText="1"/>
    </xf>
    <xf numFmtId="0" fontId="19" fillId="30" borderId="0" xfId="2" applyFont="1" applyFill="1" applyAlignment="1" applyProtection="1">
      <alignment vertical="center" wrapText="1"/>
    </xf>
    <xf numFmtId="0" fontId="19" fillId="30" borderId="0" xfId="2" applyNumberFormat="1" applyFont="1" applyFill="1" applyAlignment="1" applyProtection="1">
      <alignment horizontal="center" vertical="center" wrapText="1"/>
    </xf>
    <xf numFmtId="0" fontId="19" fillId="30" borderId="0" xfId="2" applyFont="1" applyFill="1" applyAlignment="1" applyProtection="1">
      <alignment horizontal="center" vertical="center" wrapText="1"/>
    </xf>
    <xf numFmtId="0" fontId="45" fillId="33" borderId="22" xfId="2" applyFont="1" applyFill="1" applyBorder="1" applyAlignment="1" applyProtection="1">
      <alignment horizontal="center" vertical="center" wrapText="1"/>
    </xf>
    <xf numFmtId="9" fontId="61" fillId="37" borderId="22" xfId="2" applyNumberFormat="1" applyFont="1" applyFill="1" applyBorder="1" applyAlignment="1" applyProtection="1">
      <alignment horizontal="center" vertical="center" wrapText="1"/>
    </xf>
    <xf numFmtId="0" fontId="45" fillId="38" borderId="22" xfId="0" applyFont="1" applyFill="1" applyBorder="1" applyAlignment="1" applyProtection="1">
      <alignment horizontal="center" vertical="center" wrapText="1"/>
    </xf>
    <xf numFmtId="194" fontId="61" fillId="37" borderId="22" xfId="2" applyNumberFormat="1" applyFont="1" applyFill="1" applyBorder="1" applyAlignment="1" applyProtection="1">
      <alignment horizontal="center" vertical="center" wrapText="1"/>
    </xf>
    <xf numFmtId="0" fontId="45" fillId="38" borderId="22" xfId="2" applyFont="1" applyFill="1" applyBorder="1" applyAlignment="1" applyProtection="1">
      <alignment horizontal="center" vertical="center" wrapText="1"/>
    </xf>
    <xf numFmtId="169" fontId="20" fillId="37" borderId="22" xfId="3" applyFont="1" applyFill="1" applyBorder="1" applyAlignment="1" applyProtection="1">
      <alignment horizontal="center" vertical="center" wrapText="1"/>
    </xf>
    <xf numFmtId="1" fontId="61" fillId="0" borderId="22" xfId="0" applyNumberFormat="1" applyFont="1" applyFill="1" applyBorder="1" applyAlignment="1" applyProtection="1">
      <alignment horizontal="center" vertical="center" wrapText="1"/>
    </xf>
    <xf numFmtId="4" fontId="61" fillId="0" borderId="22" xfId="3" applyNumberFormat="1" applyFont="1" applyFill="1" applyBorder="1" applyAlignment="1" applyProtection="1">
      <alignment horizontal="left" vertical="center" wrapText="1"/>
    </xf>
    <xf numFmtId="4" fontId="16" fillId="37" borderId="22" xfId="3" applyNumberFormat="1" applyFont="1" applyFill="1" applyBorder="1" applyAlignment="1" applyProtection="1">
      <alignment horizontal="center" vertical="center" wrapText="1"/>
    </xf>
    <xf numFmtId="4" fontId="16" fillId="0" borderId="22" xfId="2" applyNumberFormat="1" applyFont="1" applyFill="1" applyBorder="1" applyAlignment="1" applyProtection="1">
      <alignment horizontal="center" vertical="center"/>
    </xf>
    <xf numFmtId="4" fontId="47" fillId="32" borderId="22" xfId="2" applyNumberFormat="1" applyFont="1" applyFill="1" applyBorder="1" applyAlignment="1" applyProtection="1">
      <alignment horizontal="center" vertical="center" wrapText="1"/>
    </xf>
    <xf numFmtId="4" fontId="16" fillId="37" borderId="22" xfId="2" applyNumberFormat="1" applyFont="1" applyFill="1" applyBorder="1" applyAlignment="1" applyProtection="1">
      <alignment horizontal="center" vertical="center"/>
    </xf>
    <xf numFmtId="0" fontId="20" fillId="0" borderId="22" xfId="3" applyNumberFormat="1" applyFont="1" applyFill="1" applyBorder="1" applyAlignment="1" applyProtection="1">
      <alignment horizontal="center" vertical="center" wrapText="1"/>
    </xf>
    <xf numFmtId="169" fontId="20" fillId="0" borderId="22" xfId="3" applyFont="1" applyFill="1" applyBorder="1" applyAlignment="1" applyProtection="1">
      <alignment vertical="center" wrapText="1"/>
    </xf>
    <xf numFmtId="169" fontId="20" fillId="0" borderId="22" xfId="3" applyFont="1" applyFill="1" applyBorder="1" applyAlignment="1" applyProtection="1">
      <alignment horizontal="center" vertical="center" wrapText="1"/>
    </xf>
    <xf numFmtId="0" fontId="19" fillId="0" borderId="0" xfId="2" applyFont="1" applyFill="1" applyAlignment="1" applyProtection="1">
      <alignment horizontal="left" vertical="center"/>
    </xf>
    <xf numFmtId="0" fontId="0" fillId="0" borderId="0" xfId="0" applyProtection="1"/>
    <xf numFmtId="199" fontId="0" fillId="0" borderId="0" xfId="0" applyNumberFormat="1" applyProtection="1"/>
    <xf numFmtId="0" fontId="99" fillId="0" borderId="72" xfId="359" applyFont="1" applyBorder="1" applyAlignment="1" applyProtection="1">
      <alignment horizontal="center" vertical="center"/>
    </xf>
    <xf numFmtId="0" fontId="16" fillId="0" borderId="0" xfId="0" applyFont="1" applyProtection="1"/>
    <xf numFmtId="0" fontId="0" fillId="0" borderId="0" xfId="0" applyFill="1" applyAlignment="1" applyProtection="1"/>
    <xf numFmtId="0" fontId="0" fillId="0" borderId="0" xfId="0" applyAlignment="1" applyProtection="1">
      <alignment horizontal="center" vertical="center"/>
    </xf>
    <xf numFmtId="0" fontId="57" fillId="0" borderId="0" xfId="349" applyFont="1" applyProtection="1"/>
    <xf numFmtId="0" fontId="79" fillId="31" borderId="20" xfId="2" applyFont="1" applyFill="1" applyBorder="1" applyAlignment="1" applyProtection="1">
      <alignment vertical="center" wrapText="1"/>
    </xf>
    <xf numFmtId="0" fontId="79" fillId="31" borderId="21" xfId="2" applyFont="1" applyFill="1" applyBorder="1" applyAlignment="1" applyProtection="1">
      <alignment vertical="center" wrapText="1"/>
    </xf>
    <xf numFmtId="0" fontId="0" fillId="0" borderId="0" xfId="0" applyAlignment="1" applyProtection="1">
      <alignment vertical="center"/>
    </xf>
    <xf numFmtId="0" fontId="47" fillId="37" borderId="22" xfId="0" applyFont="1" applyFill="1" applyBorder="1" applyAlignment="1" applyProtection="1">
      <alignment horizontal="center" vertical="center"/>
    </xf>
    <xf numFmtId="171" fontId="0" fillId="0" borderId="0" xfId="0" applyNumberFormat="1" applyProtection="1"/>
    <xf numFmtId="0" fontId="61" fillId="0" borderId="0" xfId="0" applyFont="1" applyAlignment="1" applyProtection="1">
      <alignment vertical="center"/>
    </xf>
    <xf numFmtId="1" fontId="47" fillId="0" borderId="0" xfId="0" applyNumberFormat="1" applyFont="1" applyFill="1" applyBorder="1" applyAlignment="1" applyProtection="1">
      <alignment vertical="center"/>
    </xf>
    <xf numFmtId="0" fontId="18" fillId="29" borderId="22" xfId="0" applyFont="1" applyFill="1" applyBorder="1" applyAlignment="1" applyProtection="1">
      <alignment horizontal="center" vertical="center" wrapText="1"/>
    </xf>
    <xf numFmtId="193" fontId="16" fillId="0" borderId="0" xfId="0" applyNumberFormat="1" applyFont="1" applyFill="1" applyBorder="1" applyAlignment="1" applyProtection="1">
      <alignment vertical="center"/>
    </xf>
    <xf numFmtId="0" fontId="16" fillId="0" borderId="0" xfId="0" applyFont="1" applyFill="1" applyBorder="1" applyAlignment="1" applyProtection="1">
      <alignment vertical="center"/>
    </xf>
    <xf numFmtId="193" fontId="18" fillId="0" borderId="0" xfId="0" applyNumberFormat="1" applyFont="1" applyFill="1" applyBorder="1" applyAlignment="1" applyProtection="1">
      <alignment vertical="center"/>
    </xf>
    <xf numFmtId="0" fontId="18" fillId="0" borderId="0" xfId="0" applyFont="1" applyFill="1" applyBorder="1" applyAlignment="1" applyProtection="1">
      <alignment vertical="center"/>
    </xf>
    <xf numFmtId="0" fontId="0" fillId="0" borderId="0" xfId="0" applyFill="1" applyBorder="1" applyProtection="1"/>
    <xf numFmtId="0" fontId="20" fillId="0" borderId="0" xfId="0" applyFont="1" applyFill="1" applyBorder="1" applyAlignment="1" applyProtection="1">
      <alignment vertical="center"/>
    </xf>
    <xf numFmtId="0" fontId="18" fillId="0" borderId="0" xfId="0" applyFont="1" applyAlignment="1" applyProtection="1">
      <alignment horizontal="center" vertical="center"/>
    </xf>
    <xf numFmtId="185" fontId="18" fillId="29" borderId="22" xfId="0" applyNumberFormat="1" applyFont="1" applyFill="1" applyBorder="1" applyAlignment="1" applyProtection="1">
      <alignment horizontal="center" vertical="center"/>
    </xf>
    <xf numFmtId="171" fontId="0" fillId="0" borderId="22" xfId="0" applyNumberFormat="1" applyBorder="1" applyAlignment="1" applyProtection="1">
      <alignment horizontal="center" vertical="center"/>
    </xf>
    <xf numFmtId="193" fontId="0" fillId="37" borderId="70" xfId="1" applyNumberFormat="1" applyFont="1" applyFill="1" applyBorder="1" applyAlignment="1" applyProtection="1">
      <alignment horizontal="center" vertical="center"/>
    </xf>
    <xf numFmtId="185" fontId="0" fillId="0" borderId="70" xfId="0" applyNumberFormat="1" applyBorder="1" applyAlignment="1" applyProtection="1">
      <alignment horizontal="center" vertical="center"/>
    </xf>
    <xf numFmtId="185" fontId="0" fillId="0" borderId="0" xfId="0" applyNumberFormat="1" applyFill="1" applyBorder="1" applyAlignment="1" applyProtection="1">
      <alignment horizontal="center" vertical="center"/>
    </xf>
    <xf numFmtId="193" fontId="0" fillId="0" borderId="0" xfId="1" applyNumberFormat="1" applyFont="1" applyFill="1" applyBorder="1" applyAlignment="1" applyProtection="1">
      <alignment horizontal="center" vertical="center"/>
    </xf>
    <xf numFmtId="0" fontId="18" fillId="37" borderId="22" xfId="0" applyNumberFormat="1" applyFont="1" applyFill="1" applyBorder="1" applyAlignment="1" applyProtection="1">
      <alignment horizontal="center" vertical="center"/>
    </xf>
    <xf numFmtId="193" fontId="0" fillId="37" borderId="22" xfId="1" applyNumberFormat="1" applyFont="1" applyFill="1" applyBorder="1" applyAlignment="1" applyProtection="1">
      <alignment horizontal="center" vertical="center"/>
    </xf>
    <xf numFmtId="185" fontId="0" fillId="0" borderId="22" xfId="0" applyNumberFormat="1" applyBorder="1" applyAlignment="1" applyProtection="1">
      <alignment horizontal="center" vertical="center"/>
    </xf>
    <xf numFmtId="193" fontId="0" fillId="37" borderId="2" xfId="1" applyNumberFormat="1" applyFont="1" applyFill="1" applyBorder="1" applyAlignment="1" applyProtection="1">
      <alignment horizontal="center" vertical="center"/>
    </xf>
    <xf numFmtId="0" fontId="20" fillId="0" borderId="0" xfId="0" applyFont="1" applyFill="1" applyBorder="1" applyAlignment="1" applyProtection="1">
      <alignment horizontal="centerContinuous" vertical="center"/>
    </xf>
    <xf numFmtId="0" fontId="20" fillId="0" borderId="0" xfId="0" applyFont="1" applyFill="1" applyBorder="1" applyAlignment="1" applyProtection="1">
      <alignment horizontal="center" vertical="center"/>
    </xf>
    <xf numFmtId="0" fontId="57" fillId="30" borderId="0" xfId="349" applyFont="1" applyFill="1" applyProtection="1"/>
    <xf numFmtId="0" fontId="58" fillId="37" borderId="67" xfId="349" applyFont="1" applyFill="1" applyBorder="1" applyAlignment="1" applyProtection="1">
      <alignment horizontal="center" vertical="center"/>
    </xf>
    <xf numFmtId="0" fontId="58" fillId="29" borderId="40" xfId="349" applyFont="1" applyFill="1" applyBorder="1" applyAlignment="1" applyProtection="1">
      <alignment horizontal="center"/>
    </xf>
    <xf numFmtId="189" fontId="74" fillId="33" borderId="41" xfId="349" applyNumberFormat="1" applyFont="1" applyFill="1" applyBorder="1" applyAlignment="1" applyProtection="1">
      <alignment horizontal="center" vertical="center"/>
    </xf>
    <xf numFmtId="14" fontId="58" fillId="37" borderId="67" xfId="349" applyNumberFormat="1" applyFont="1" applyFill="1" applyBorder="1" applyAlignment="1" applyProtection="1">
      <alignment horizontal="center" vertical="center" wrapText="1"/>
    </xf>
    <xf numFmtId="0" fontId="59" fillId="37" borderId="67" xfId="349" applyFont="1" applyFill="1" applyBorder="1" applyAlignment="1" applyProtection="1">
      <alignment horizontal="center" vertical="center"/>
    </xf>
    <xf numFmtId="0" fontId="70" fillId="33" borderId="65" xfId="349" applyFont="1" applyFill="1" applyBorder="1" applyAlignment="1" applyProtection="1">
      <alignment horizontal="center" vertical="center"/>
    </xf>
    <xf numFmtId="190" fontId="75" fillId="33" borderId="66" xfId="349" applyNumberFormat="1" applyFont="1" applyFill="1" applyBorder="1" applyAlignment="1" applyProtection="1">
      <alignment horizontal="center" vertical="center"/>
    </xf>
    <xf numFmtId="0" fontId="58" fillId="29" borderId="42" xfId="349" applyFont="1" applyFill="1" applyBorder="1" applyAlignment="1" applyProtection="1">
      <alignment horizontal="center" vertical="center" wrapText="1"/>
    </xf>
    <xf numFmtId="189" fontId="58" fillId="33" borderId="43" xfId="349" applyNumberFormat="1" applyFont="1" applyFill="1" applyBorder="1" applyAlignment="1" applyProtection="1">
      <alignment horizontal="center" vertical="center"/>
    </xf>
    <xf numFmtId="164" fontId="58" fillId="37" borderId="67" xfId="349" applyNumberFormat="1" applyFont="1" applyFill="1" applyBorder="1" applyAlignment="1" applyProtection="1">
      <alignment horizontal="center" vertical="center" wrapText="1"/>
    </xf>
    <xf numFmtId="0" fontId="57" fillId="30" borderId="0" xfId="349" applyFont="1" applyFill="1" applyBorder="1" applyProtection="1"/>
    <xf numFmtId="0" fontId="58" fillId="29" borderId="22" xfId="349" applyFont="1" applyFill="1" applyBorder="1" applyAlignment="1" applyProtection="1">
      <alignment horizontal="center" vertical="center"/>
    </xf>
    <xf numFmtId="0" fontId="57" fillId="30" borderId="0" xfId="349" applyFont="1" applyFill="1" applyBorder="1" applyAlignment="1" applyProtection="1">
      <alignment horizontal="center"/>
    </xf>
    <xf numFmtId="0" fontId="57" fillId="30" borderId="0" xfId="349" applyFont="1" applyFill="1" applyAlignment="1" applyProtection="1">
      <alignment horizontal="left"/>
    </xf>
    <xf numFmtId="0" fontId="58" fillId="37" borderId="22" xfId="426" applyNumberFormat="1" applyFont="1" applyFill="1" applyBorder="1" applyAlignment="1" applyProtection="1">
      <alignment horizontal="center" vertical="center" wrapText="1"/>
    </xf>
    <xf numFmtId="0" fontId="59" fillId="29" borderId="22" xfId="349" applyFont="1" applyFill="1" applyBorder="1" applyAlignment="1" applyProtection="1">
      <alignment horizontal="center" vertical="center" wrapText="1"/>
    </xf>
    <xf numFmtId="0" fontId="59" fillId="29" borderId="22" xfId="349" applyFont="1" applyFill="1" applyBorder="1" applyAlignment="1" applyProtection="1">
      <alignment vertical="center" wrapText="1"/>
    </xf>
    <xf numFmtId="0" fontId="59" fillId="29" borderId="34" xfId="349" applyFont="1" applyFill="1" applyBorder="1" applyAlignment="1" applyProtection="1">
      <alignment horizontal="center" vertical="center" wrapText="1"/>
    </xf>
    <xf numFmtId="0" fontId="59" fillId="29" borderId="27" xfId="349" applyFont="1" applyFill="1" applyBorder="1" applyAlignment="1" applyProtection="1">
      <alignment horizontal="center" vertical="center" wrapText="1"/>
    </xf>
    <xf numFmtId="0" fontId="59" fillId="30" borderId="1" xfId="349" applyFont="1" applyFill="1" applyBorder="1" applyAlignment="1" applyProtection="1">
      <alignment horizontal="center" vertical="center"/>
    </xf>
    <xf numFmtId="0" fontId="69" fillId="37" borderId="1" xfId="349" applyFont="1" applyFill="1" applyBorder="1" applyAlignment="1" applyProtection="1">
      <alignment horizontal="center" vertical="center" wrapText="1"/>
    </xf>
    <xf numFmtId="190" fontId="69" fillId="30" borderId="1" xfId="349" applyNumberFormat="1" applyFont="1" applyFill="1" applyBorder="1" applyAlignment="1" applyProtection="1">
      <alignment horizontal="center" vertical="center"/>
    </xf>
    <xf numFmtId="2" fontId="69" fillId="30" borderId="1" xfId="349" applyNumberFormat="1" applyFont="1" applyFill="1" applyBorder="1" applyAlignment="1" applyProtection="1">
      <alignment horizontal="center" vertical="center"/>
    </xf>
    <xf numFmtId="2" fontId="69" fillId="30" borderId="22" xfId="349" applyNumberFormat="1" applyFont="1" applyFill="1" applyBorder="1" applyAlignment="1" applyProtection="1">
      <alignment horizontal="center" vertical="center"/>
    </xf>
    <xf numFmtId="2" fontId="59" fillId="30" borderId="22" xfId="349" applyNumberFormat="1" applyFont="1" applyFill="1" applyBorder="1" applyAlignment="1" applyProtection="1">
      <alignment horizontal="center" vertical="center"/>
    </xf>
    <xf numFmtId="1" fontId="72" fillId="0" borderId="1" xfId="349" applyNumberFormat="1" applyFont="1" applyFill="1" applyBorder="1" applyAlignment="1" applyProtection="1">
      <alignment horizontal="center" vertical="center"/>
    </xf>
    <xf numFmtId="0" fontId="57" fillId="0" borderId="0" xfId="349" applyFont="1" applyAlignment="1" applyProtection="1">
      <alignment vertical="center"/>
    </xf>
    <xf numFmtId="9" fontId="57" fillId="0" borderId="0" xfId="349" applyNumberFormat="1" applyFont="1" applyProtection="1"/>
    <xf numFmtId="0" fontId="18" fillId="29" borderId="22" xfId="0" applyFont="1" applyFill="1" applyBorder="1" applyAlignment="1" applyProtection="1">
      <alignment horizontal="center" vertical="center"/>
    </xf>
    <xf numFmtId="0" fontId="47" fillId="29" borderId="22" xfId="0" applyFont="1" applyFill="1" applyBorder="1" applyAlignment="1" applyProtection="1">
      <alignment horizontal="center" vertical="center"/>
    </xf>
    <xf numFmtId="0" fontId="120" fillId="0" borderId="70" xfId="0" applyFont="1" applyBorder="1" applyAlignment="1">
      <alignment horizontal="center" vertical="center"/>
    </xf>
    <xf numFmtId="0" fontId="100" fillId="42" borderId="78" xfId="0" applyFont="1" applyFill="1" applyBorder="1" applyAlignment="1" applyProtection="1">
      <alignment horizontal="center" vertical="center"/>
      <protection hidden="1"/>
    </xf>
    <xf numFmtId="0" fontId="100" fillId="42" borderId="68" xfId="0" applyFont="1" applyFill="1" applyBorder="1" applyAlignment="1" applyProtection="1">
      <alignment horizontal="center" vertical="center"/>
      <protection hidden="1"/>
    </xf>
    <xf numFmtId="0" fontId="100" fillId="42" borderId="79" xfId="0" applyFont="1" applyFill="1" applyBorder="1" applyAlignment="1" applyProtection="1">
      <alignment horizontal="center" vertical="center"/>
      <protection hidden="1"/>
    </xf>
    <xf numFmtId="4" fontId="100" fillId="42" borderId="80" xfId="0" applyNumberFormat="1" applyFont="1" applyFill="1" applyBorder="1" applyAlignment="1" applyProtection="1">
      <alignment horizontal="center" vertical="center"/>
      <protection hidden="1"/>
    </xf>
    <xf numFmtId="3" fontId="100" fillId="42" borderId="80" xfId="0" applyNumberFormat="1" applyFont="1" applyFill="1" applyBorder="1" applyAlignment="1" applyProtection="1">
      <alignment horizontal="center" vertical="center" wrapText="1"/>
      <protection hidden="1"/>
    </xf>
    <xf numFmtId="3" fontId="100" fillId="42" borderId="57" xfId="0" applyNumberFormat="1" applyFont="1" applyFill="1" applyBorder="1" applyAlignment="1" applyProtection="1">
      <alignment horizontal="center" vertical="center" wrapText="1"/>
      <protection hidden="1"/>
    </xf>
    <xf numFmtId="10" fontId="0" fillId="0" borderId="0" xfId="0" applyNumberFormat="1" applyProtection="1">
      <protection hidden="1"/>
    </xf>
    <xf numFmtId="199" fontId="0" fillId="0" borderId="0" xfId="0" applyNumberFormat="1" applyProtection="1">
      <protection hidden="1"/>
    </xf>
    <xf numFmtId="49" fontId="101" fillId="43" borderId="81" xfId="1" applyNumberFormat="1" applyFont="1" applyFill="1" applyBorder="1" applyAlignment="1" applyProtection="1">
      <alignment horizontal="center" vertical="center" wrapText="1"/>
      <protection hidden="1"/>
    </xf>
    <xf numFmtId="0" fontId="102" fillId="43" borderId="82" xfId="436" applyFont="1" applyFill="1" applyBorder="1" applyAlignment="1" applyProtection="1">
      <alignment horizontal="center" vertical="center"/>
      <protection hidden="1"/>
    </xf>
    <xf numFmtId="0" fontId="103" fillId="43" borderId="83" xfId="0" applyFont="1" applyFill="1" applyBorder="1" applyAlignment="1" applyProtection="1">
      <alignment horizontal="center" vertical="center"/>
      <protection hidden="1"/>
    </xf>
    <xf numFmtId="2" fontId="103" fillId="43" borderId="63" xfId="0" applyNumberFormat="1" applyFont="1" applyFill="1" applyBorder="1" applyAlignment="1" applyProtection="1">
      <alignment horizontal="center" vertical="center"/>
      <protection hidden="1"/>
    </xf>
    <xf numFmtId="191" fontId="103" fillId="43" borderId="84" xfId="436" applyNumberFormat="1" applyFont="1" applyFill="1" applyBorder="1" applyAlignment="1" applyProtection="1">
      <alignment horizontal="center" vertical="center"/>
      <protection hidden="1"/>
    </xf>
    <xf numFmtId="191" fontId="104" fillId="43" borderId="53" xfId="0" applyNumberFormat="1" applyFont="1" applyFill="1" applyBorder="1" applyAlignment="1" applyProtection="1">
      <alignment horizontal="center" vertical="center"/>
      <protection hidden="1"/>
    </xf>
    <xf numFmtId="49" fontId="109" fillId="49" borderId="81" xfId="1" applyNumberFormat="1" applyFont="1" applyFill="1" applyBorder="1" applyAlignment="1" applyProtection="1">
      <alignment horizontal="center" vertical="center" wrapText="1"/>
      <protection hidden="1"/>
    </xf>
    <xf numFmtId="0" fontId="102" fillId="28" borderId="82" xfId="436" applyFont="1" applyFill="1" applyBorder="1" applyAlignment="1" applyProtection="1">
      <alignment horizontal="center" vertical="center"/>
      <protection hidden="1"/>
    </xf>
    <xf numFmtId="0" fontId="103" fillId="28" borderId="83" xfId="0" applyFont="1" applyFill="1" applyBorder="1" applyAlignment="1" applyProtection="1">
      <alignment horizontal="center" vertical="center"/>
      <protection hidden="1"/>
    </xf>
    <xf numFmtId="2" fontId="103" fillId="28" borderId="63" xfId="0" applyNumberFormat="1" applyFont="1" applyFill="1" applyBorder="1" applyAlignment="1" applyProtection="1">
      <alignment horizontal="center" vertical="center"/>
      <protection hidden="1"/>
    </xf>
    <xf numFmtId="191" fontId="103" fillId="28" borderId="84" xfId="436" applyNumberFormat="1" applyFont="1" applyFill="1" applyBorder="1" applyAlignment="1" applyProtection="1">
      <alignment horizontal="center" vertical="center"/>
      <protection hidden="1"/>
    </xf>
    <xf numFmtId="191" fontId="104" fillId="28" borderId="53" xfId="0" applyNumberFormat="1" applyFont="1" applyFill="1" applyBorder="1" applyAlignment="1" applyProtection="1">
      <alignment horizontal="center" vertical="center"/>
      <protection hidden="1"/>
    </xf>
    <xf numFmtId="3" fontId="0" fillId="0" borderId="0" xfId="0" applyNumberFormat="1" applyProtection="1">
      <protection hidden="1"/>
    </xf>
    <xf numFmtId="49" fontId="110" fillId="50" borderId="81" xfId="1" applyNumberFormat="1" applyFont="1" applyFill="1" applyBorder="1" applyAlignment="1" applyProtection="1">
      <alignment horizontal="center" vertical="center" wrapText="1"/>
      <protection hidden="1"/>
    </xf>
    <xf numFmtId="0" fontId="111" fillId="50" borderId="82" xfId="436" applyFont="1" applyFill="1" applyBorder="1" applyAlignment="1" applyProtection="1">
      <alignment horizontal="left" vertical="center" wrapText="1"/>
      <protection hidden="1"/>
    </xf>
    <xf numFmtId="0" fontId="112" fillId="50" borderId="83" xfId="0" applyFont="1" applyFill="1" applyBorder="1" applyAlignment="1" applyProtection="1">
      <alignment horizontal="center" vertical="center"/>
      <protection hidden="1"/>
    </xf>
    <xf numFmtId="2" fontId="112" fillId="50" borderId="63" xfId="0" applyNumberFormat="1" applyFont="1" applyFill="1" applyBorder="1" applyAlignment="1" applyProtection="1">
      <alignment horizontal="center" vertical="center"/>
      <protection hidden="1"/>
    </xf>
    <xf numFmtId="200" fontId="112" fillId="50" borderId="84" xfId="436" applyNumberFormat="1" applyFont="1" applyFill="1" applyBorder="1" applyAlignment="1" applyProtection="1">
      <alignment horizontal="center" vertical="center"/>
      <protection hidden="1"/>
    </xf>
    <xf numFmtId="200" fontId="113" fillId="50" borderId="53" xfId="0" applyNumberFormat="1" applyFont="1" applyFill="1" applyBorder="1" applyAlignment="1" applyProtection="1">
      <alignment horizontal="center" vertical="center"/>
      <protection hidden="1"/>
    </xf>
    <xf numFmtId="0" fontId="106" fillId="0" borderId="72" xfId="437" applyFont="1" applyFill="1" applyBorder="1" applyAlignment="1" applyProtection="1">
      <alignment horizontal="center" vertical="center"/>
      <protection hidden="1"/>
    </xf>
    <xf numFmtId="0" fontId="65" fillId="44" borderId="85" xfId="438" applyFont="1" applyFill="1" applyBorder="1" applyAlignment="1" applyProtection="1">
      <alignment horizontal="justify" vertical="center" wrapText="1"/>
      <protection hidden="1"/>
    </xf>
    <xf numFmtId="0" fontId="65" fillId="44" borderId="86" xfId="360" applyNumberFormat="1" applyFont="1" applyFill="1" applyBorder="1" applyAlignment="1" applyProtection="1">
      <alignment horizontal="center" vertical="center"/>
      <protection hidden="1"/>
    </xf>
    <xf numFmtId="2" fontId="65" fillId="0" borderId="87" xfId="0" applyNumberFormat="1" applyFont="1" applyFill="1" applyBorder="1" applyAlignment="1" applyProtection="1">
      <alignment horizontal="center" vertical="center"/>
      <protection hidden="1"/>
    </xf>
    <xf numFmtId="199" fontId="65" fillId="45" borderId="87" xfId="436" applyNumberFormat="1" applyFont="1" applyFill="1" applyBorder="1" applyAlignment="1" applyProtection="1">
      <alignment horizontal="center" vertical="center"/>
      <protection hidden="1"/>
    </xf>
    <xf numFmtId="199" fontId="65" fillId="44" borderId="85" xfId="0" applyNumberFormat="1" applyFont="1" applyFill="1" applyBorder="1" applyAlignment="1" applyProtection="1">
      <alignment horizontal="center" vertical="center"/>
      <protection hidden="1"/>
    </xf>
    <xf numFmtId="0" fontId="99" fillId="0" borderId="72" xfId="359" applyFont="1" applyBorder="1" applyAlignment="1" applyProtection="1">
      <alignment horizontal="center" vertical="center"/>
      <protection hidden="1"/>
    </xf>
    <xf numFmtId="0" fontId="65" fillId="30" borderId="85" xfId="438" applyFont="1" applyFill="1" applyBorder="1" applyAlignment="1" applyProtection="1">
      <alignment horizontal="justify" vertical="center" wrapText="1"/>
      <protection hidden="1"/>
    </xf>
    <xf numFmtId="0" fontId="65" fillId="30" borderId="86" xfId="360" applyNumberFormat="1" applyFont="1" applyFill="1" applyBorder="1" applyAlignment="1" applyProtection="1">
      <alignment horizontal="center" vertical="center"/>
      <protection hidden="1"/>
    </xf>
    <xf numFmtId="2" fontId="65" fillId="0" borderId="87" xfId="0" applyNumberFormat="1" applyFont="1" applyBorder="1" applyAlignment="1" applyProtection="1">
      <alignment horizontal="center" vertical="center"/>
      <protection hidden="1"/>
    </xf>
    <xf numFmtId="199" fontId="65" fillId="37" borderId="87" xfId="436" applyNumberFormat="1" applyFont="1" applyFill="1" applyBorder="1" applyAlignment="1" applyProtection="1">
      <alignment horizontal="center" vertical="center"/>
      <protection hidden="1"/>
    </xf>
    <xf numFmtId="199" fontId="65" fillId="30" borderId="85" xfId="0" applyNumberFormat="1" applyFont="1" applyFill="1" applyBorder="1" applyAlignment="1" applyProtection="1">
      <alignment horizontal="center" vertical="center"/>
      <protection hidden="1"/>
    </xf>
    <xf numFmtId="0" fontId="16" fillId="30" borderId="28" xfId="104" applyFill="1" applyBorder="1" applyAlignment="1" applyProtection="1">
      <alignment horizontal="center" vertical="center"/>
      <protection hidden="1"/>
    </xf>
    <xf numFmtId="0" fontId="16" fillId="30" borderId="22" xfId="104" applyFill="1" applyBorder="1" applyAlignment="1" applyProtection="1">
      <alignment horizontal="center" vertical="center"/>
      <protection hidden="1"/>
    </xf>
    <xf numFmtId="166" fontId="76" fillId="0" borderId="22" xfId="432" applyFont="1" applyBorder="1" applyAlignment="1" applyProtection="1">
      <alignment horizontal="center" vertical="center"/>
      <protection hidden="1"/>
    </xf>
    <xf numFmtId="198" fontId="76" fillId="0" borderId="22" xfId="0" applyNumberFormat="1" applyFont="1" applyBorder="1" applyAlignment="1" applyProtection="1">
      <alignment horizontal="center" vertical="center"/>
      <protection hidden="1"/>
    </xf>
    <xf numFmtId="0" fontId="115" fillId="0" borderId="72" xfId="437" applyFont="1" applyBorder="1" applyAlignment="1" applyProtection="1">
      <alignment horizontal="center" vertical="center"/>
      <protection hidden="1"/>
    </xf>
    <xf numFmtId="0" fontId="116" fillId="47" borderId="85" xfId="438" applyFont="1" applyFill="1" applyBorder="1" applyAlignment="1" applyProtection="1">
      <alignment horizontal="left" vertical="center" wrapText="1"/>
      <protection hidden="1"/>
    </xf>
    <xf numFmtId="0" fontId="116" fillId="47" borderId="86" xfId="142" applyNumberFormat="1" applyFont="1" applyFill="1" applyBorder="1" applyAlignment="1" applyProtection="1">
      <alignment horizontal="center" vertical="center"/>
      <protection hidden="1"/>
    </xf>
    <xf numFmtId="2" fontId="116" fillId="0" borderId="87" xfId="0" applyNumberFormat="1" applyFont="1" applyBorder="1" applyAlignment="1" applyProtection="1">
      <alignment horizontal="center" vertical="center"/>
      <protection hidden="1"/>
    </xf>
    <xf numFmtId="201" fontId="116" fillId="51" borderId="87" xfId="436" applyNumberFormat="1" applyFont="1" applyFill="1" applyBorder="1" applyAlignment="1" applyProtection="1">
      <alignment horizontal="center" vertical="center"/>
      <protection hidden="1"/>
    </xf>
    <xf numFmtId="201" fontId="116" fillId="47" borderId="85" xfId="0" applyNumberFormat="1" applyFont="1" applyFill="1" applyBorder="1" applyAlignment="1" applyProtection="1">
      <alignment horizontal="center" vertical="center"/>
      <protection hidden="1"/>
    </xf>
    <xf numFmtId="2" fontId="65" fillId="44" borderId="87" xfId="0" applyNumberFormat="1" applyFont="1" applyFill="1" applyBorder="1" applyAlignment="1" applyProtection="1">
      <alignment horizontal="center" vertical="center"/>
      <protection hidden="1"/>
    </xf>
    <xf numFmtId="0" fontId="93" fillId="0" borderId="0" xfId="0" applyFont="1" applyAlignment="1" applyProtection="1">
      <alignment vertical="center" wrapText="1"/>
      <protection hidden="1"/>
    </xf>
    <xf numFmtId="2" fontId="65" fillId="30" borderId="87" xfId="0" applyNumberFormat="1" applyFont="1" applyFill="1" applyBorder="1" applyAlignment="1" applyProtection="1">
      <alignment horizontal="center" vertical="center"/>
      <protection hidden="1"/>
    </xf>
    <xf numFmtId="2" fontId="116" fillId="47" borderId="87" xfId="0" applyNumberFormat="1" applyFont="1" applyFill="1" applyBorder="1" applyAlignment="1" applyProtection="1">
      <alignment horizontal="center" vertical="center"/>
      <protection hidden="1"/>
    </xf>
    <xf numFmtId="0" fontId="65" fillId="0" borderId="85" xfId="438" applyFont="1" applyFill="1" applyBorder="1" applyAlignment="1" applyProtection="1">
      <alignment horizontal="justify" vertical="center" wrapText="1"/>
      <protection hidden="1"/>
    </xf>
    <xf numFmtId="0" fontId="116" fillId="0" borderId="85" xfId="438" applyFont="1" applyFill="1" applyBorder="1" applyAlignment="1" applyProtection="1">
      <alignment horizontal="left" vertical="center" wrapText="1"/>
      <protection hidden="1"/>
    </xf>
    <xf numFmtId="0" fontId="99" fillId="0" borderId="100" xfId="359" applyFont="1" applyBorder="1" applyAlignment="1" applyProtection="1">
      <alignment horizontal="center" vertical="center"/>
      <protection hidden="1"/>
    </xf>
    <xf numFmtId="0" fontId="65" fillId="30" borderId="101" xfId="438" applyFont="1" applyFill="1" applyBorder="1" applyAlignment="1" applyProtection="1">
      <alignment horizontal="justify" vertical="center" wrapText="1"/>
      <protection hidden="1"/>
    </xf>
    <xf numFmtId="0" fontId="65" fillId="30" borderId="102" xfId="360" applyNumberFormat="1" applyFont="1" applyFill="1" applyBorder="1" applyAlignment="1" applyProtection="1">
      <alignment horizontal="center" vertical="center"/>
      <protection hidden="1"/>
    </xf>
    <xf numFmtId="2" fontId="65" fillId="30" borderId="103" xfId="0" applyNumberFormat="1" applyFont="1" applyFill="1" applyBorder="1" applyAlignment="1" applyProtection="1">
      <alignment horizontal="center" vertical="center"/>
      <protection hidden="1"/>
    </xf>
    <xf numFmtId="199" fontId="65" fillId="37" borderId="103" xfId="436" applyNumberFormat="1" applyFont="1" applyFill="1" applyBorder="1" applyAlignment="1" applyProtection="1">
      <alignment horizontal="center" vertical="center"/>
      <protection hidden="1"/>
    </xf>
    <xf numFmtId="199" fontId="65" fillId="30" borderId="101" xfId="0" applyNumberFormat="1" applyFont="1" applyFill="1" applyBorder="1" applyAlignment="1" applyProtection="1">
      <alignment horizontal="center" vertical="center"/>
      <protection hidden="1"/>
    </xf>
    <xf numFmtId="49" fontId="109" fillId="49" borderId="104" xfId="1" applyNumberFormat="1" applyFont="1" applyFill="1" applyBorder="1" applyAlignment="1" applyProtection="1">
      <alignment horizontal="center" vertical="center" wrapText="1"/>
      <protection hidden="1"/>
    </xf>
    <xf numFmtId="0" fontId="102" fillId="28" borderId="105" xfId="436" applyFont="1" applyFill="1" applyBorder="1" applyAlignment="1" applyProtection="1">
      <alignment horizontal="center" vertical="center"/>
      <protection hidden="1"/>
    </xf>
    <xf numFmtId="0" fontId="103" fillId="28" borderId="106" xfId="0" applyFont="1" applyFill="1" applyBorder="1" applyAlignment="1" applyProtection="1">
      <alignment horizontal="center" vertical="center"/>
      <protection hidden="1"/>
    </xf>
    <xf numFmtId="2" fontId="103" fillId="28" borderId="69" xfId="0" applyNumberFormat="1" applyFont="1" applyFill="1" applyBorder="1" applyAlignment="1" applyProtection="1">
      <alignment horizontal="center" vertical="center"/>
      <protection hidden="1"/>
    </xf>
    <xf numFmtId="191" fontId="103" fillId="28" borderId="107" xfId="436" applyNumberFormat="1" applyFont="1" applyFill="1" applyBorder="1" applyAlignment="1" applyProtection="1">
      <alignment horizontal="center" vertical="center"/>
      <protection hidden="1"/>
    </xf>
    <xf numFmtId="191" fontId="104" fillId="28" borderId="68" xfId="0" applyNumberFormat="1" applyFont="1" applyFill="1" applyBorder="1" applyAlignment="1" applyProtection="1">
      <alignment horizontal="center" vertical="center"/>
      <protection hidden="1"/>
    </xf>
    <xf numFmtId="0" fontId="106" fillId="0" borderId="73" xfId="437" applyFont="1" applyFill="1" applyBorder="1" applyAlignment="1" applyProtection="1">
      <alignment horizontal="center" vertical="center"/>
      <protection hidden="1"/>
    </xf>
    <xf numFmtId="0" fontId="65" fillId="44" borderId="88" xfId="438" applyFont="1" applyFill="1" applyBorder="1" applyAlignment="1" applyProtection="1">
      <alignment horizontal="justify" vertical="center" wrapText="1"/>
      <protection hidden="1"/>
    </xf>
    <xf numFmtId="0" fontId="65" fillId="44" borderId="89" xfId="360" applyNumberFormat="1" applyFont="1" applyFill="1" applyBorder="1" applyAlignment="1" applyProtection="1">
      <alignment horizontal="center" vertical="center"/>
      <protection hidden="1"/>
    </xf>
    <xf numFmtId="2" fontId="65" fillId="44" borderId="90" xfId="0" applyNumberFormat="1" applyFont="1" applyFill="1" applyBorder="1" applyAlignment="1" applyProtection="1">
      <alignment horizontal="center" vertical="center"/>
      <protection hidden="1"/>
    </xf>
    <xf numFmtId="191" fontId="65" fillId="45" borderId="90" xfId="436" applyNumberFormat="1" applyFont="1" applyFill="1" applyBorder="1" applyAlignment="1" applyProtection="1">
      <alignment horizontal="center" vertical="center"/>
      <protection hidden="1"/>
    </xf>
    <xf numFmtId="199" fontId="65" fillId="44" borderId="88" xfId="0" applyNumberFormat="1" applyFont="1" applyFill="1" applyBorder="1" applyAlignment="1" applyProtection="1">
      <alignment horizontal="center" vertical="center"/>
      <protection hidden="1"/>
    </xf>
    <xf numFmtId="0" fontId="99" fillId="0" borderId="73" xfId="359" applyFont="1" applyBorder="1" applyAlignment="1" applyProtection="1">
      <alignment horizontal="center" vertical="center"/>
      <protection hidden="1"/>
    </xf>
    <xf numFmtId="0" fontId="65" fillId="0" borderId="88" xfId="438" applyFont="1" applyFill="1" applyBorder="1" applyAlignment="1" applyProtection="1">
      <alignment horizontal="justify" vertical="center" wrapText="1"/>
      <protection hidden="1"/>
    </xf>
    <xf numFmtId="0" fontId="65" fillId="30" borderId="89" xfId="360" applyNumberFormat="1" applyFont="1" applyFill="1" applyBorder="1" applyAlignment="1" applyProtection="1">
      <alignment horizontal="center" vertical="center"/>
      <protection hidden="1"/>
    </xf>
    <xf numFmtId="2" fontId="65" fillId="30" borderId="90" xfId="0" applyNumberFormat="1" applyFont="1" applyFill="1" applyBorder="1" applyAlignment="1" applyProtection="1">
      <alignment horizontal="center" vertical="center"/>
      <protection hidden="1"/>
    </xf>
    <xf numFmtId="191" fontId="65" fillId="37" borderId="90" xfId="436" applyNumberFormat="1" applyFont="1" applyFill="1" applyBorder="1" applyAlignment="1" applyProtection="1">
      <alignment horizontal="center" vertical="center"/>
      <protection hidden="1"/>
    </xf>
    <xf numFmtId="199" fontId="65" fillId="30" borderId="88" xfId="0" applyNumberFormat="1" applyFont="1" applyFill="1" applyBorder="1" applyAlignment="1" applyProtection="1">
      <alignment horizontal="center" vertical="center"/>
      <protection hidden="1"/>
    </xf>
    <xf numFmtId="0" fontId="65" fillId="30" borderId="88" xfId="438" applyFont="1" applyFill="1" applyBorder="1" applyAlignment="1" applyProtection="1">
      <alignment horizontal="justify" vertical="center" wrapText="1"/>
      <protection hidden="1"/>
    </xf>
    <xf numFmtId="0" fontId="115" fillId="0" borderId="73" xfId="437" applyFont="1" applyBorder="1" applyAlignment="1" applyProtection="1">
      <alignment horizontal="center" vertical="center"/>
      <protection hidden="1"/>
    </xf>
    <xf numFmtId="0" fontId="116" fillId="47" borderId="88" xfId="438" applyFont="1" applyFill="1" applyBorder="1" applyAlignment="1" applyProtection="1">
      <alignment horizontal="left" vertical="center" wrapText="1"/>
      <protection hidden="1"/>
    </xf>
    <xf numFmtId="0" fontId="116" fillId="47" borderId="89" xfId="142" applyNumberFormat="1" applyFont="1" applyFill="1" applyBorder="1" applyAlignment="1" applyProtection="1">
      <alignment horizontal="center" vertical="center"/>
      <protection hidden="1"/>
    </xf>
    <xf numFmtId="2" fontId="116" fillId="47" borderId="90" xfId="0" applyNumberFormat="1" applyFont="1" applyFill="1" applyBorder="1" applyAlignment="1" applyProtection="1">
      <alignment horizontal="center" vertical="center"/>
      <protection hidden="1"/>
    </xf>
    <xf numFmtId="200" fontId="116" fillId="51" borderId="90" xfId="436" applyNumberFormat="1" applyFont="1" applyFill="1" applyBorder="1" applyAlignment="1" applyProtection="1">
      <alignment horizontal="center" vertical="center"/>
      <protection hidden="1"/>
    </xf>
    <xf numFmtId="201" fontId="116" fillId="47" borderId="88" xfId="0" applyNumberFormat="1" applyFont="1" applyFill="1" applyBorder="1" applyAlignment="1" applyProtection="1">
      <alignment horizontal="center" vertical="center"/>
      <protection hidden="1"/>
    </xf>
    <xf numFmtId="0" fontId="106" fillId="0" borderId="74" xfId="437" applyFont="1" applyFill="1" applyBorder="1" applyAlignment="1" applyProtection="1">
      <alignment horizontal="center" vertical="center"/>
      <protection hidden="1"/>
    </xf>
    <xf numFmtId="0" fontId="65" fillId="44" borderId="91" xfId="360" applyNumberFormat="1" applyFont="1" applyFill="1" applyBorder="1" applyAlignment="1" applyProtection="1">
      <alignment horizontal="center" vertical="center"/>
      <protection hidden="1"/>
    </xf>
    <xf numFmtId="2" fontId="65" fillId="44" borderId="0" xfId="0" applyNumberFormat="1" applyFont="1" applyFill="1" applyBorder="1" applyAlignment="1" applyProtection="1">
      <alignment horizontal="center" vertical="center"/>
      <protection hidden="1"/>
    </xf>
    <xf numFmtId="191" fontId="65" fillId="45" borderId="92" xfId="436" applyNumberFormat="1" applyFont="1" applyFill="1" applyBorder="1" applyAlignment="1" applyProtection="1">
      <alignment horizontal="center" vertical="center"/>
      <protection hidden="1"/>
    </xf>
    <xf numFmtId="0" fontId="99" fillId="0" borderId="74" xfId="359" applyFont="1" applyBorder="1" applyAlignment="1" applyProtection="1">
      <alignment horizontal="center" vertical="center"/>
      <protection hidden="1"/>
    </xf>
    <xf numFmtId="0" fontId="65" fillId="30" borderId="91" xfId="360" applyNumberFormat="1" applyFont="1" applyFill="1" applyBorder="1" applyAlignment="1" applyProtection="1">
      <alignment horizontal="center" vertical="center"/>
      <protection hidden="1"/>
    </xf>
    <xf numFmtId="2" fontId="65" fillId="30" borderId="0" xfId="0" applyNumberFormat="1" applyFont="1" applyFill="1" applyAlignment="1" applyProtection="1">
      <alignment horizontal="center" vertical="center"/>
      <protection hidden="1"/>
    </xf>
    <xf numFmtId="191" fontId="65" fillId="37" borderId="92" xfId="436" applyNumberFormat="1" applyFont="1" applyFill="1" applyBorder="1" applyAlignment="1" applyProtection="1">
      <alignment horizontal="center" vertical="center"/>
      <protection hidden="1"/>
    </xf>
    <xf numFmtId="0" fontId="115" fillId="0" borderId="74" xfId="437" applyFont="1" applyBorder="1" applyAlignment="1" applyProtection="1">
      <alignment horizontal="center" vertical="center"/>
      <protection hidden="1"/>
    </xf>
    <xf numFmtId="0" fontId="116" fillId="47" borderId="91" xfId="142" applyNumberFormat="1" applyFont="1" applyFill="1" applyBorder="1" applyAlignment="1" applyProtection="1">
      <alignment horizontal="center" vertical="center"/>
      <protection hidden="1"/>
    </xf>
    <xf numFmtId="2" fontId="116" fillId="47" borderId="0" xfId="0" applyNumberFormat="1" applyFont="1" applyFill="1" applyAlignment="1" applyProtection="1">
      <alignment horizontal="center" vertical="center"/>
      <protection hidden="1"/>
    </xf>
    <xf numFmtId="200" fontId="116" fillId="51" borderId="92" xfId="436" applyNumberFormat="1" applyFont="1" applyFill="1" applyBorder="1" applyAlignment="1" applyProtection="1">
      <alignment horizontal="center" vertical="center"/>
      <protection hidden="1"/>
    </xf>
    <xf numFmtId="191" fontId="104" fillId="43" borderId="93" xfId="436" applyNumberFormat="1" applyFont="1" applyFill="1" applyBorder="1" applyAlignment="1" applyProtection="1">
      <alignment vertical="center"/>
      <protection hidden="1"/>
    </xf>
    <xf numFmtId="191" fontId="104" fillId="43" borderId="53" xfId="436" applyNumberFormat="1" applyFont="1" applyFill="1" applyBorder="1" applyAlignment="1" applyProtection="1">
      <alignment horizontal="center" vertical="center"/>
      <protection hidden="1"/>
    </xf>
    <xf numFmtId="191" fontId="104" fillId="28" borderId="93" xfId="436" applyNumberFormat="1" applyFont="1" applyFill="1" applyBorder="1" applyAlignment="1" applyProtection="1">
      <alignment vertical="center"/>
      <protection hidden="1"/>
    </xf>
    <xf numFmtId="191" fontId="104" fillId="28" borderId="53" xfId="436" applyNumberFormat="1" applyFont="1" applyFill="1" applyBorder="1" applyAlignment="1" applyProtection="1">
      <alignment horizontal="center" vertical="center"/>
      <protection hidden="1"/>
    </xf>
    <xf numFmtId="200" fontId="113" fillId="50" borderId="93" xfId="436" applyNumberFormat="1" applyFont="1" applyFill="1" applyBorder="1" applyAlignment="1" applyProtection="1">
      <alignment vertical="center"/>
      <protection hidden="1"/>
    </xf>
    <xf numFmtId="200" fontId="113" fillId="50" borderId="53" xfId="436" applyNumberFormat="1" applyFont="1" applyFill="1" applyBorder="1" applyAlignment="1" applyProtection="1">
      <alignment horizontal="center" vertical="center"/>
      <protection hidden="1"/>
    </xf>
    <xf numFmtId="0" fontId="105" fillId="0" borderId="75" xfId="437" applyFont="1" applyFill="1" applyBorder="1" applyAlignment="1" applyProtection="1">
      <alignment horizontal="center" vertical="center"/>
      <protection hidden="1"/>
    </xf>
    <xf numFmtId="0" fontId="65" fillId="44" borderId="70" xfId="438" applyFont="1" applyFill="1" applyBorder="1" applyAlignment="1" applyProtection="1">
      <alignment horizontal="justify" vertical="center"/>
      <protection hidden="1"/>
    </xf>
    <xf numFmtId="2" fontId="65" fillId="44" borderId="2" xfId="0" applyNumberFormat="1" applyFont="1" applyFill="1" applyBorder="1" applyAlignment="1" applyProtection="1">
      <alignment horizontal="center" vertical="center"/>
      <protection hidden="1"/>
    </xf>
    <xf numFmtId="199" fontId="65" fillId="45" borderId="84" xfId="436" applyNumberFormat="1" applyFont="1" applyFill="1" applyBorder="1" applyAlignment="1" applyProtection="1">
      <alignment horizontal="center" vertical="center"/>
      <protection hidden="1"/>
    </xf>
    <xf numFmtId="199" fontId="65" fillId="44" borderId="82" xfId="0" applyNumberFormat="1" applyFont="1" applyFill="1" applyBorder="1" applyAlignment="1" applyProtection="1">
      <alignment horizontal="center" vertical="center"/>
      <protection hidden="1"/>
    </xf>
    <xf numFmtId="0" fontId="77" fillId="0" borderId="75" xfId="359" applyBorder="1" applyAlignment="1" applyProtection="1">
      <alignment horizontal="center" vertical="center"/>
      <protection hidden="1"/>
    </xf>
    <xf numFmtId="0" fontId="65" fillId="30" borderId="70" xfId="438" applyFont="1" applyFill="1" applyBorder="1" applyAlignment="1" applyProtection="1">
      <alignment horizontal="justify" vertical="center"/>
      <protection hidden="1"/>
    </xf>
    <xf numFmtId="2" fontId="65" fillId="30" borderId="2" xfId="0" applyNumberFormat="1" applyFont="1" applyFill="1" applyBorder="1" applyAlignment="1" applyProtection="1">
      <alignment horizontal="center" vertical="center"/>
      <protection hidden="1"/>
    </xf>
    <xf numFmtId="199" fontId="65" fillId="37" borderId="84" xfId="436" applyNumberFormat="1" applyFont="1" applyFill="1" applyBorder="1" applyAlignment="1" applyProtection="1">
      <alignment horizontal="center" vertical="center"/>
      <protection hidden="1"/>
    </xf>
    <xf numFmtId="199" fontId="65" fillId="30" borderId="82" xfId="0" applyNumberFormat="1" applyFont="1" applyFill="1" applyBorder="1" applyAlignment="1" applyProtection="1">
      <alignment horizontal="center" vertical="center"/>
      <protection hidden="1"/>
    </xf>
    <xf numFmtId="0" fontId="105" fillId="0" borderId="75" xfId="437" applyBorder="1" applyAlignment="1" applyProtection="1">
      <alignment horizontal="center" vertical="center"/>
      <protection hidden="1"/>
    </xf>
    <xf numFmtId="0" fontId="116" fillId="47" borderId="70" xfId="438" applyFont="1" applyFill="1" applyBorder="1" applyAlignment="1" applyProtection="1">
      <alignment horizontal="left" vertical="center" wrapText="1"/>
      <protection hidden="1"/>
    </xf>
    <xf numFmtId="2" fontId="116" fillId="47" borderId="2" xfId="0" applyNumberFormat="1" applyFont="1" applyFill="1" applyBorder="1" applyAlignment="1" applyProtection="1">
      <alignment horizontal="center" vertical="center"/>
      <protection hidden="1"/>
    </xf>
    <xf numFmtId="201" fontId="116" fillId="51" borderId="84" xfId="436" applyNumberFormat="1" applyFont="1" applyFill="1" applyBorder="1" applyAlignment="1" applyProtection="1">
      <alignment horizontal="center" vertical="center"/>
      <protection hidden="1"/>
    </xf>
    <xf numFmtId="201" fontId="116" fillId="47" borderId="82" xfId="0" applyNumberFormat="1" applyFont="1" applyFill="1" applyBorder="1" applyAlignment="1" applyProtection="1">
      <alignment horizontal="center" vertical="center"/>
      <protection hidden="1"/>
    </xf>
    <xf numFmtId="0" fontId="105" fillId="0" borderId="73" xfId="437" applyFont="1" applyFill="1" applyBorder="1" applyAlignment="1" applyProtection="1">
      <alignment horizontal="center" vertical="center"/>
      <protection hidden="1"/>
    </xf>
    <xf numFmtId="0" fontId="103" fillId="0" borderId="70" xfId="0" applyFont="1" applyFill="1" applyBorder="1" applyAlignment="1" applyProtection="1">
      <alignment horizontal="center" vertical="center"/>
      <protection hidden="1"/>
    </xf>
    <xf numFmtId="200" fontId="107" fillId="46" borderId="70" xfId="0" applyNumberFormat="1" applyFont="1" applyFill="1" applyBorder="1" applyAlignment="1" applyProtection="1">
      <alignment horizontal="center" vertical="center"/>
      <protection hidden="1"/>
    </xf>
    <xf numFmtId="200" fontId="107" fillId="47" borderId="94" xfId="0" applyNumberFormat="1" applyFont="1" applyFill="1" applyBorder="1" applyAlignment="1" applyProtection="1">
      <alignment horizontal="center" vertical="center"/>
      <protection hidden="1"/>
    </xf>
    <xf numFmtId="0" fontId="77" fillId="0" borderId="73" xfId="359" applyBorder="1" applyAlignment="1" applyProtection="1">
      <alignment horizontal="center" vertical="center"/>
      <protection hidden="1"/>
    </xf>
    <xf numFmtId="0" fontId="103" fillId="0" borderId="70" xfId="0" applyFont="1" applyBorder="1" applyAlignment="1" applyProtection="1">
      <alignment horizontal="center" vertical="center"/>
      <protection hidden="1"/>
    </xf>
    <xf numFmtId="0" fontId="114" fillId="0" borderId="73" xfId="437" applyFont="1" applyBorder="1" applyAlignment="1" applyProtection="1">
      <alignment horizontal="center" vertical="center"/>
      <protection hidden="1"/>
    </xf>
    <xf numFmtId="0" fontId="112" fillId="0" borderId="70" xfId="0" applyFont="1" applyBorder="1" applyAlignment="1" applyProtection="1">
      <alignment horizontal="center" vertical="center"/>
      <protection hidden="1"/>
    </xf>
    <xf numFmtId="200" fontId="117" fillId="51" borderId="70" xfId="0" applyNumberFormat="1" applyFont="1" applyFill="1" applyBorder="1" applyAlignment="1" applyProtection="1">
      <alignment horizontal="center" vertical="center"/>
      <protection hidden="1"/>
    </xf>
    <xf numFmtId="200" fontId="117" fillId="47" borderId="94" xfId="0" applyNumberFormat="1" applyFont="1" applyFill="1" applyBorder="1" applyAlignment="1" applyProtection="1">
      <alignment horizontal="center" vertical="center"/>
      <protection hidden="1"/>
    </xf>
    <xf numFmtId="0" fontId="105" fillId="0" borderId="74" xfId="437" applyFont="1" applyFill="1" applyBorder="1" applyAlignment="1" applyProtection="1">
      <alignment horizontal="center" vertical="center"/>
      <protection hidden="1"/>
    </xf>
    <xf numFmtId="0" fontId="77" fillId="0" borderId="74" xfId="359" applyBorder="1" applyAlignment="1" applyProtection="1">
      <alignment horizontal="center" vertical="center"/>
      <protection hidden="1"/>
    </xf>
    <xf numFmtId="0" fontId="114" fillId="0" borderId="74" xfId="437" applyFont="1" applyBorder="1" applyAlignment="1" applyProtection="1">
      <alignment horizontal="center" vertical="center"/>
      <protection hidden="1"/>
    </xf>
    <xf numFmtId="0" fontId="105" fillId="0" borderId="76" xfId="437" applyFont="1" applyFill="1" applyBorder="1" applyAlignment="1" applyProtection="1">
      <alignment horizontal="center" vertical="center"/>
      <protection hidden="1"/>
    </xf>
    <xf numFmtId="0" fontId="77" fillId="0" borderId="76" xfId="359" applyBorder="1" applyAlignment="1" applyProtection="1">
      <alignment horizontal="center" vertical="center"/>
      <protection hidden="1"/>
    </xf>
    <xf numFmtId="0" fontId="114" fillId="0" borderId="76" xfId="437" applyFont="1" applyBorder="1" applyAlignment="1" applyProtection="1">
      <alignment horizontal="center" vertical="center"/>
      <protection hidden="1"/>
    </xf>
    <xf numFmtId="0" fontId="105" fillId="0" borderId="77" xfId="437" applyFont="1" applyFill="1" applyBorder="1" applyAlignment="1" applyProtection="1">
      <alignment horizontal="center" vertical="center"/>
      <protection hidden="1"/>
    </xf>
    <xf numFmtId="0" fontId="77" fillId="0" borderId="77" xfId="359" applyBorder="1" applyAlignment="1" applyProtection="1">
      <alignment horizontal="center" vertical="center"/>
      <protection hidden="1"/>
    </xf>
    <xf numFmtId="0" fontId="114" fillId="0" borderId="77" xfId="437" applyFont="1" applyBorder="1" applyAlignment="1" applyProtection="1">
      <alignment horizontal="center" vertical="center"/>
      <protection hidden="1"/>
    </xf>
    <xf numFmtId="0" fontId="103" fillId="0" borderId="28" xfId="0" applyFont="1" applyFill="1" applyBorder="1" applyAlignment="1" applyProtection="1">
      <alignment horizontal="center" vertical="center"/>
      <protection hidden="1"/>
    </xf>
    <xf numFmtId="0" fontId="103" fillId="0" borderId="28" xfId="0" applyFont="1" applyBorder="1" applyAlignment="1" applyProtection="1">
      <alignment horizontal="center" vertical="center"/>
      <protection hidden="1"/>
    </xf>
    <xf numFmtId="0" fontId="112" fillId="0" borderId="28" xfId="0" applyFont="1" applyBorder="1" applyAlignment="1" applyProtection="1">
      <alignment horizontal="center" vertical="center"/>
      <protection hidden="1"/>
    </xf>
    <xf numFmtId="0" fontId="65" fillId="48" borderId="70" xfId="0" applyFont="1" applyFill="1" applyBorder="1" applyAlignment="1" applyProtection="1">
      <alignment vertical="center"/>
      <protection hidden="1"/>
    </xf>
    <xf numFmtId="191" fontId="66" fillId="0" borderId="70" xfId="0" applyNumberFormat="1" applyFont="1" applyFill="1" applyBorder="1" applyAlignment="1" applyProtection="1">
      <alignment horizontal="center" vertical="center"/>
      <protection hidden="1"/>
    </xf>
    <xf numFmtId="10" fontId="0" fillId="0" borderId="0" xfId="0" applyNumberFormat="1" applyAlignment="1" applyProtection="1">
      <alignment horizontal="center"/>
      <protection hidden="1"/>
    </xf>
    <xf numFmtId="199" fontId="65" fillId="48" borderId="70" xfId="0" applyNumberFormat="1" applyFont="1" applyFill="1" applyBorder="1" applyAlignment="1" applyProtection="1">
      <alignment horizontal="center" vertical="center"/>
      <protection hidden="1"/>
    </xf>
    <xf numFmtId="199" fontId="118" fillId="48" borderId="70" xfId="0" applyNumberFormat="1" applyFont="1" applyFill="1" applyBorder="1" applyAlignment="1" applyProtection="1">
      <alignment horizontal="center" vertical="center"/>
      <protection hidden="1"/>
    </xf>
    <xf numFmtId="197" fontId="66" fillId="37" borderId="22" xfId="430" applyNumberFormat="1" applyFont="1" applyFill="1" applyBorder="1" applyAlignment="1" applyProtection="1">
      <alignment horizontal="center" vertical="center" wrapText="1"/>
      <protection hidden="1"/>
    </xf>
    <xf numFmtId="198" fontId="87" fillId="37" borderId="22" xfId="0" applyNumberFormat="1" applyFont="1" applyFill="1" applyBorder="1" applyAlignment="1" applyProtection="1">
      <alignment horizontal="center" vertical="center"/>
      <protection hidden="1"/>
    </xf>
    <xf numFmtId="10" fontId="65" fillId="45" borderId="70" xfId="357" applyNumberFormat="1" applyFont="1" applyFill="1" applyBorder="1" applyAlignment="1" applyProtection="1">
      <alignment horizontal="center"/>
      <protection hidden="1"/>
    </xf>
    <xf numFmtId="191" fontId="65" fillId="0" borderId="70" xfId="0" applyNumberFormat="1" applyFont="1" applyFill="1" applyBorder="1" applyAlignment="1" applyProtection="1">
      <alignment horizontal="center"/>
      <protection hidden="1"/>
    </xf>
    <xf numFmtId="10" fontId="66" fillId="45" borderId="70" xfId="357" applyNumberFormat="1" applyFont="1" applyFill="1" applyBorder="1" applyAlignment="1" applyProtection="1">
      <alignment horizontal="center"/>
      <protection hidden="1"/>
    </xf>
    <xf numFmtId="191" fontId="119" fillId="0" borderId="70" xfId="0" applyNumberFormat="1" applyFont="1" applyFill="1" applyBorder="1" applyAlignment="1" applyProtection="1">
      <alignment horizontal="center"/>
      <protection hidden="1"/>
    </xf>
    <xf numFmtId="9" fontId="66" fillId="43" borderId="95" xfId="357" applyFont="1" applyFill="1" applyBorder="1" applyAlignment="1" applyProtection="1">
      <alignment vertical="center"/>
      <protection hidden="1"/>
    </xf>
    <xf numFmtId="191" fontId="66" fillId="0" borderId="70" xfId="0" applyNumberFormat="1" applyFont="1" applyFill="1" applyBorder="1" applyAlignment="1" applyProtection="1">
      <alignment horizontal="center"/>
      <protection hidden="1"/>
    </xf>
    <xf numFmtId="191" fontId="118" fillId="33" borderId="112" xfId="0" applyNumberFormat="1" applyFont="1" applyFill="1" applyBorder="1" applyAlignment="1" applyProtection="1">
      <alignment horizontal="center"/>
      <protection hidden="1"/>
    </xf>
    <xf numFmtId="0" fontId="65" fillId="0" borderId="0" xfId="0" applyFont="1" applyAlignment="1" applyProtection="1">
      <alignment horizontal="center"/>
      <protection hidden="1"/>
    </xf>
    <xf numFmtId="0" fontId="65" fillId="0" borderId="0" xfId="0" applyFont="1" applyProtection="1">
      <protection hidden="1"/>
    </xf>
    <xf numFmtId="0" fontId="64" fillId="0" borderId="0" xfId="0" applyFont="1" applyProtection="1">
      <protection hidden="1"/>
    </xf>
    <xf numFmtId="0" fontId="16" fillId="0" borderId="70" xfId="0" applyFont="1" applyBorder="1" applyAlignment="1" applyProtection="1">
      <alignment horizontal="center" vertical="center"/>
      <protection hidden="1"/>
    </xf>
    <xf numFmtId="0" fontId="18" fillId="30" borderId="22" xfId="104" applyFont="1" applyFill="1" applyBorder="1" applyAlignment="1" applyProtection="1">
      <alignment horizontal="center" vertical="center"/>
      <protection hidden="1"/>
    </xf>
    <xf numFmtId="0" fontId="0" fillId="0" borderId="70" xfId="0" applyBorder="1" applyAlignment="1" applyProtection="1">
      <alignment horizontal="center" vertical="center"/>
      <protection hidden="1"/>
    </xf>
    <xf numFmtId="0" fontId="16" fillId="37" borderId="22" xfId="0" applyFont="1" applyFill="1" applyBorder="1" applyAlignment="1" applyProtection="1">
      <alignment horizontal="center" vertical="center"/>
      <protection hidden="1"/>
    </xf>
    <xf numFmtId="0" fontId="16" fillId="37" borderId="22" xfId="0" applyFont="1" applyFill="1" applyBorder="1" applyAlignment="1" applyProtection="1">
      <alignment horizontal="center" vertical="center" wrapText="1"/>
      <protection hidden="1"/>
    </xf>
    <xf numFmtId="0" fontId="54" fillId="33" borderId="1" xfId="344" applyFont="1" applyFill="1" applyBorder="1" applyAlignment="1" applyProtection="1">
      <alignment horizontal="center" vertical="center"/>
      <protection hidden="1"/>
    </xf>
    <xf numFmtId="0" fontId="55" fillId="33" borderId="1" xfId="344" applyFont="1" applyFill="1" applyBorder="1" applyAlignment="1" applyProtection="1">
      <alignment horizontal="center" vertical="center" wrapText="1"/>
      <protection hidden="1"/>
    </xf>
    <xf numFmtId="0" fontId="53" fillId="33" borderId="1" xfId="344" applyFont="1" applyFill="1" applyBorder="1" applyAlignment="1" applyProtection="1">
      <alignment horizontal="center" vertical="center" wrapText="1"/>
      <protection hidden="1"/>
    </xf>
    <xf numFmtId="0" fontId="53" fillId="33" borderId="70" xfId="344" applyFont="1" applyFill="1" applyBorder="1" applyAlignment="1" applyProtection="1">
      <alignment horizontal="center" vertical="center" wrapText="1"/>
      <protection hidden="1"/>
    </xf>
    <xf numFmtId="169" fontId="20" fillId="37" borderId="22" xfId="3" applyFont="1" applyFill="1" applyBorder="1" applyAlignment="1" applyProtection="1">
      <alignment horizontal="center" vertical="center" wrapText="1"/>
      <protection hidden="1"/>
    </xf>
    <xf numFmtId="1" fontId="54" fillId="33" borderId="1" xfId="344" applyNumberFormat="1" applyFont="1" applyFill="1" applyBorder="1" applyAlignment="1" applyProtection="1">
      <alignment horizontal="center" vertical="center" wrapText="1"/>
      <protection hidden="1"/>
    </xf>
    <xf numFmtId="0" fontId="54" fillId="33" borderId="1" xfId="344" applyFont="1" applyFill="1" applyBorder="1" applyAlignment="1" applyProtection="1">
      <alignment horizontal="center" vertical="center" wrapText="1"/>
      <protection hidden="1"/>
    </xf>
    <xf numFmtId="0" fontId="53" fillId="0" borderId="1" xfId="344" applyFont="1" applyFill="1" applyBorder="1" applyAlignment="1" applyProtection="1">
      <alignment horizontal="center" vertical="center" wrapText="1"/>
      <protection hidden="1"/>
    </xf>
    <xf numFmtId="0" fontId="53" fillId="0" borderId="70" xfId="344" applyFont="1" applyFill="1" applyBorder="1" applyAlignment="1" applyProtection="1">
      <alignment horizontal="center" vertical="center" wrapText="1"/>
      <protection hidden="1"/>
    </xf>
    <xf numFmtId="0" fontId="20" fillId="0" borderId="22" xfId="3" applyNumberFormat="1" applyFont="1" applyFill="1" applyBorder="1" applyAlignment="1" applyProtection="1">
      <alignment horizontal="center" vertical="center" wrapText="1"/>
      <protection hidden="1"/>
    </xf>
    <xf numFmtId="169" fontId="20" fillId="0" borderId="22" xfId="3" applyFont="1" applyFill="1" applyBorder="1" applyAlignment="1" applyProtection="1">
      <alignment horizontal="center" vertical="center" wrapText="1"/>
      <protection hidden="1"/>
    </xf>
    <xf numFmtId="0" fontId="52" fillId="37" borderId="70" xfId="0" applyFont="1" applyFill="1" applyBorder="1" applyAlignment="1" applyProtection="1">
      <alignment horizontal="center" vertical="center" wrapText="1"/>
      <protection hidden="1"/>
    </xf>
    <xf numFmtId="0" fontId="52" fillId="37" borderId="70" xfId="2" applyFont="1" applyFill="1" applyBorder="1" applyAlignment="1" applyProtection="1">
      <alignment horizontal="center" vertical="center" wrapText="1"/>
      <protection hidden="1"/>
    </xf>
    <xf numFmtId="0" fontId="52" fillId="41" borderId="70" xfId="0" applyFont="1" applyFill="1" applyBorder="1" applyAlignment="1" applyProtection="1">
      <alignment horizontal="center" vertical="center" wrapText="1"/>
      <protection hidden="1"/>
    </xf>
    <xf numFmtId="0" fontId="67" fillId="0" borderId="70" xfId="0" applyNumberFormat="1" applyFont="1" applyFill="1" applyBorder="1" applyAlignment="1" applyProtection="1">
      <alignment horizontal="center" vertical="center" wrapText="1"/>
      <protection hidden="1"/>
    </xf>
    <xf numFmtId="0" fontId="67" fillId="0" borderId="70" xfId="0" applyFont="1" applyBorder="1" applyAlignment="1" applyProtection="1">
      <alignment vertical="center"/>
      <protection hidden="1"/>
    </xf>
    <xf numFmtId="0" fontId="67" fillId="0" borderId="70" xfId="0" applyFont="1" applyBorder="1" applyAlignment="1" applyProtection="1">
      <alignment horizontal="center" vertical="center"/>
      <protection hidden="1"/>
    </xf>
    <xf numFmtId="0" fontId="67" fillId="0" borderId="70" xfId="0" applyFont="1" applyFill="1" applyBorder="1" applyAlignment="1" applyProtection="1">
      <alignment horizontal="center" vertical="center"/>
      <protection hidden="1"/>
    </xf>
    <xf numFmtId="0" fontId="67" fillId="37" borderId="70" xfId="0" applyFont="1" applyFill="1" applyBorder="1" applyAlignment="1" applyProtection="1">
      <alignment horizontal="center" vertical="center"/>
      <protection hidden="1"/>
    </xf>
    <xf numFmtId="0" fontId="79" fillId="0" borderId="70" xfId="0" applyFont="1" applyBorder="1" applyAlignment="1" applyProtection="1">
      <alignment horizontal="center" vertical="center"/>
      <protection hidden="1"/>
    </xf>
    <xf numFmtId="0" fontId="67" fillId="37" borderId="70" xfId="0" applyFont="1" applyFill="1" applyBorder="1" applyAlignment="1" applyProtection="1">
      <alignment horizontal="center" vertical="center" wrapText="1"/>
      <protection hidden="1"/>
    </xf>
    <xf numFmtId="0" fontId="52" fillId="31" borderId="23" xfId="0" applyFont="1" applyFill="1" applyBorder="1" applyAlignment="1" applyProtection="1">
      <alignment horizontal="center" vertical="center" wrapText="1"/>
    </xf>
    <xf numFmtId="0" fontId="52" fillId="31" borderId="25" xfId="0" applyFont="1" applyFill="1" applyBorder="1" applyAlignment="1" applyProtection="1">
      <alignment horizontal="center" vertical="center" wrapText="1"/>
    </xf>
    <xf numFmtId="0" fontId="16" fillId="0" borderId="0" xfId="0" applyFont="1" applyFill="1" applyAlignment="1" applyProtection="1">
      <alignment horizontal="justify" vertical="top" wrapText="1"/>
    </xf>
    <xf numFmtId="0" fontId="20" fillId="31" borderId="20" xfId="0" applyFont="1" applyFill="1" applyBorder="1" applyAlignment="1" applyProtection="1">
      <alignment horizontal="center" vertical="center" wrapText="1"/>
    </xf>
    <xf numFmtId="0" fontId="20" fillId="31" borderId="17" xfId="0" applyFont="1" applyFill="1" applyBorder="1" applyAlignment="1" applyProtection="1">
      <alignment horizontal="center" vertical="center" wrapText="1"/>
    </xf>
    <xf numFmtId="0" fontId="61" fillId="31" borderId="18" xfId="0" applyFont="1" applyFill="1" applyBorder="1" applyAlignment="1" applyProtection="1">
      <alignment horizontal="justify" vertical="center" wrapText="1"/>
    </xf>
    <xf numFmtId="0" fontId="61" fillId="31" borderId="19" xfId="0" applyFont="1" applyFill="1" applyBorder="1" applyAlignment="1" applyProtection="1">
      <alignment horizontal="justify" vertical="center" wrapText="1"/>
    </xf>
    <xf numFmtId="0" fontId="17" fillId="31" borderId="18" xfId="0" applyFont="1" applyFill="1" applyBorder="1" applyAlignment="1" applyProtection="1">
      <alignment horizontal="center" vertical="center" wrapText="1"/>
    </xf>
    <xf numFmtId="0" fontId="17" fillId="31" borderId="19" xfId="0" applyFont="1" applyFill="1" applyBorder="1" applyAlignment="1" applyProtection="1">
      <alignment horizontal="center" vertical="center" wrapText="1"/>
    </xf>
    <xf numFmtId="0" fontId="61" fillId="0" borderId="0" xfId="351" applyFont="1" applyAlignment="1" applyProtection="1">
      <alignment horizontal="center" vertical="center" wrapText="1"/>
    </xf>
    <xf numFmtId="0" fontId="61" fillId="0" borderId="0" xfId="351" applyFont="1" applyAlignment="1" applyProtection="1">
      <alignment horizontal="center" vertical="center"/>
    </xf>
    <xf numFmtId="0" fontId="61" fillId="31" borderId="23" xfId="351" applyFont="1" applyFill="1" applyBorder="1" applyAlignment="1" applyProtection="1">
      <alignment horizontal="center"/>
    </xf>
    <xf numFmtId="0" fontId="61" fillId="31" borderId="18" xfId="351" applyFont="1" applyFill="1" applyBorder="1" applyAlignment="1" applyProtection="1">
      <alignment horizontal="center"/>
    </xf>
    <xf numFmtId="0" fontId="52" fillId="31" borderId="24" xfId="351" applyFont="1" applyFill="1" applyBorder="1" applyAlignment="1" applyProtection="1">
      <alignment horizontal="center" wrapText="1"/>
    </xf>
    <xf numFmtId="0" fontId="52" fillId="31" borderId="25" xfId="351" applyFont="1" applyFill="1" applyBorder="1" applyAlignment="1" applyProtection="1">
      <alignment horizontal="center" wrapText="1"/>
    </xf>
    <xf numFmtId="0" fontId="17" fillId="31" borderId="0" xfId="351" applyFont="1" applyFill="1" applyBorder="1" applyAlignment="1" applyProtection="1">
      <alignment horizontal="center"/>
    </xf>
    <xf numFmtId="0" fontId="17" fillId="31" borderId="19" xfId="351" applyFont="1" applyFill="1" applyBorder="1" applyAlignment="1" applyProtection="1">
      <alignment horizontal="center"/>
    </xf>
    <xf numFmtId="0" fontId="47" fillId="31" borderId="0" xfId="351" applyFont="1" applyFill="1" applyBorder="1" applyAlignment="1" applyProtection="1">
      <alignment horizontal="center" vertical="center" wrapText="1"/>
    </xf>
    <xf numFmtId="0" fontId="47" fillId="31" borderId="19" xfId="351" applyFont="1" applyFill="1" applyBorder="1" applyAlignment="1" applyProtection="1">
      <alignment horizontal="center" vertical="center" wrapText="1"/>
    </xf>
    <xf numFmtId="0" fontId="20" fillId="31" borderId="20" xfId="351" applyFont="1" applyFill="1" applyBorder="1" applyAlignment="1" applyProtection="1">
      <alignment horizontal="center" vertical="center" wrapText="1"/>
    </xf>
    <xf numFmtId="0" fontId="20" fillId="31" borderId="21" xfId="351" applyFont="1" applyFill="1" applyBorder="1" applyAlignment="1" applyProtection="1">
      <alignment horizontal="center" vertical="center" wrapText="1"/>
    </xf>
    <xf numFmtId="0" fontId="20" fillId="31" borderId="17" xfId="351" applyFont="1" applyFill="1" applyBorder="1" applyAlignment="1" applyProtection="1">
      <alignment horizontal="center" vertical="center" wrapText="1"/>
    </xf>
    <xf numFmtId="0" fontId="47" fillId="32" borderId="20" xfId="351" applyFont="1" applyFill="1" applyBorder="1" applyAlignment="1" applyProtection="1">
      <alignment horizontal="center" wrapText="1"/>
    </xf>
    <xf numFmtId="0" fontId="47" fillId="32" borderId="21" xfId="351" applyFont="1" applyFill="1" applyBorder="1" applyAlignment="1" applyProtection="1">
      <alignment horizontal="center" wrapText="1"/>
    </xf>
    <xf numFmtId="0" fontId="47" fillId="32" borderId="17" xfId="351" applyFont="1" applyFill="1" applyBorder="1" applyAlignment="1" applyProtection="1">
      <alignment horizontal="center" wrapText="1"/>
    </xf>
    <xf numFmtId="0" fontId="3" fillId="32" borderId="71" xfId="350" applyFont="1" applyFill="1" applyBorder="1" applyAlignment="1" applyProtection="1">
      <alignment horizontal="center" vertical="center" wrapText="1"/>
    </xf>
    <xf numFmtId="0" fontId="3" fillId="32" borderId="34" xfId="350" applyFont="1" applyFill="1" applyBorder="1" applyAlignment="1" applyProtection="1">
      <alignment horizontal="center" vertical="center" wrapText="1"/>
    </xf>
    <xf numFmtId="0" fontId="3" fillId="32" borderId="28" xfId="350" applyFont="1" applyFill="1" applyBorder="1" applyAlignment="1" applyProtection="1">
      <alignment horizontal="center" vertical="center" wrapText="1"/>
    </xf>
    <xf numFmtId="0" fontId="3" fillId="35" borderId="71" xfId="350" applyFont="1" applyFill="1" applyBorder="1" applyAlignment="1" applyProtection="1">
      <alignment horizontal="center" vertical="center"/>
    </xf>
    <xf numFmtId="0" fontId="3" fillId="35" borderId="34" xfId="350" applyFont="1" applyFill="1" applyBorder="1" applyAlignment="1" applyProtection="1">
      <alignment horizontal="center" vertical="center"/>
    </xf>
    <xf numFmtId="0" fontId="3" fillId="35" borderId="28" xfId="350" applyFont="1" applyFill="1" applyBorder="1" applyAlignment="1" applyProtection="1">
      <alignment horizontal="center" vertical="center"/>
    </xf>
    <xf numFmtId="0" fontId="61" fillId="31" borderId="35" xfId="2" applyNumberFormat="1" applyFont="1" applyFill="1" applyBorder="1" applyAlignment="1" applyProtection="1">
      <alignment horizontal="center" vertical="center" wrapText="1"/>
    </xf>
    <xf numFmtId="0" fontId="61" fillId="31" borderId="34" xfId="2" applyNumberFormat="1" applyFont="1" applyFill="1" applyBorder="1" applyAlignment="1" applyProtection="1">
      <alignment horizontal="center" vertical="center" wrapText="1"/>
    </xf>
    <xf numFmtId="0" fontId="61" fillId="31" borderId="28" xfId="2" applyNumberFormat="1" applyFont="1" applyFill="1" applyBorder="1" applyAlignment="1" applyProtection="1">
      <alignment horizontal="center" vertical="center" wrapText="1"/>
    </xf>
    <xf numFmtId="0" fontId="61" fillId="0" borderId="35" xfId="2" applyNumberFormat="1" applyFont="1" applyFill="1" applyBorder="1" applyAlignment="1" applyProtection="1">
      <alignment horizontal="center" vertical="center" wrapText="1"/>
    </xf>
    <xf numFmtId="0" fontId="61" fillId="0" borderId="34" xfId="2" applyNumberFormat="1" applyFont="1" applyFill="1" applyBorder="1" applyAlignment="1" applyProtection="1">
      <alignment horizontal="center" vertical="center" wrapText="1"/>
    </xf>
    <xf numFmtId="0" fontId="61" fillId="0" borderId="28" xfId="2" applyNumberFormat="1" applyFont="1" applyFill="1" applyBorder="1" applyAlignment="1" applyProtection="1">
      <alignment horizontal="center" vertical="center" wrapText="1"/>
    </xf>
    <xf numFmtId="4" fontId="47" fillId="0" borderId="35" xfId="2" applyNumberFormat="1" applyFont="1" applyFill="1" applyBorder="1" applyAlignment="1" applyProtection="1">
      <alignment horizontal="center" vertical="center" wrapText="1"/>
    </xf>
    <xf numFmtId="4" fontId="47" fillId="0" borderId="34" xfId="2" applyNumberFormat="1" applyFont="1" applyFill="1" applyBorder="1" applyAlignment="1" applyProtection="1">
      <alignment horizontal="center" vertical="center" wrapText="1"/>
    </xf>
    <xf numFmtId="4" fontId="47" fillId="0" borderId="28" xfId="2" applyNumberFormat="1" applyFont="1" applyFill="1" applyBorder="1" applyAlignment="1" applyProtection="1">
      <alignment horizontal="center" vertical="center" wrapText="1"/>
    </xf>
    <xf numFmtId="0" fontId="62" fillId="33" borderId="35" xfId="0" applyFont="1" applyFill="1" applyBorder="1" applyAlignment="1" applyProtection="1">
      <alignment horizontal="center" vertical="center" textRotation="255" wrapText="1"/>
    </xf>
    <xf numFmtId="0" fontId="62" fillId="33" borderId="34" xfId="0" applyFont="1" applyFill="1" applyBorder="1" applyAlignment="1" applyProtection="1">
      <alignment horizontal="center" vertical="center" textRotation="255" wrapText="1"/>
    </xf>
    <xf numFmtId="0" fontId="62" fillId="33" borderId="28" xfId="0" applyFont="1" applyFill="1" applyBorder="1" applyAlignment="1" applyProtection="1">
      <alignment horizontal="center" vertical="center" textRotation="255" wrapText="1"/>
    </xf>
    <xf numFmtId="4" fontId="47" fillId="31" borderId="35" xfId="2" applyNumberFormat="1" applyFont="1" applyFill="1" applyBorder="1" applyAlignment="1" applyProtection="1">
      <alignment horizontal="center" vertical="center" wrapText="1"/>
    </xf>
    <xf numFmtId="4" fontId="47" fillId="31" borderId="34" xfId="2" applyNumberFormat="1" applyFont="1" applyFill="1" applyBorder="1" applyAlignment="1" applyProtection="1">
      <alignment horizontal="center" vertical="center" wrapText="1"/>
    </xf>
    <xf numFmtId="4" fontId="47" fillId="31" borderId="28" xfId="2" applyNumberFormat="1" applyFont="1" applyFill="1" applyBorder="1" applyAlignment="1" applyProtection="1">
      <alignment horizontal="center" vertical="center" wrapText="1"/>
    </xf>
    <xf numFmtId="0" fontId="61" fillId="39" borderId="35" xfId="2" applyNumberFormat="1" applyFont="1" applyFill="1" applyBorder="1" applyAlignment="1" applyProtection="1">
      <alignment horizontal="center" vertical="center" wrapText="1"/>
    </xf>
    <xf numFmtId="0" fontId="61" fillId="39" borderId="34" xfId="2" applyNumberFormat="1" applyFont="1" applyFill="1" applyBorder="1" applyAlignment="1" applyProtection="1">
      <alignment horizontal="center" vertical="center" wrapText="1"/>
    </xf>
    <xf numFmtId="0" fontId="61" fillId="39" borderId="28" xfId="2" applyNumberFormat="1" applyFont="1" applyFill="1" applyBorder="1" applyAlignment="1" applyProtection="1">
      <alignment horizontal="center" vertical="center" wrapText="1"/>
    </xf>
    <xf numFmtId="9" fontId="61" fillId="0" borderId="35" xfId="2" applyNumberFormat="1" applyFont="1" applyFill="1" applyBorder="1" applyAlignment="1" applyProtection="1">
      <alignment horizontal="center" vertical="center" wrapText="1"/>
    </xf>
    <xf numFmtId="9" fontId="61" fillId="0" borderId="34" xfId="2" applyNumberFormat="1" applyFont="1" applyFill="1" applyBorder="1" applyAlignment="1" applyProtection="1">
      <alignment horizontal="center" vertical="center" wrapText="1"/>
    </xf>
    <xf numFmtId="9" fontId="61" fillId="0" borderId="28" xfId="2" applyNumberFormat="1" applyFont="1" applyFill="1" applyBorder="1" applyAlignment="1" applyProtection="1">
      <alignment horizontal="center" vertical="center" wrapText="1"/>
    </xf>
    <xf numFmtId="0" fontId="47" fillId="39" borderId="35" xfId="2" applyFont="1" applyFill="1" applyBorder="1" applyAlignment="1" applyProtection="1">
      <alignment horizontal="center" vertical="center" wrapText="1"/>
    </xf>
    <xf numFmtId="0" fontId="47" fillId="39" borderId="34" xfId="2" applyFont="1" applyFill="1" applyBorder="1" applyAlignment="1" applyProtection="1">
      <alignment horizontal="center" vertical="center" wrapText="1"/>
    </xf>
    <xf numFmtId="0" fontId="47" fillId="39" borderId="28" xfId="2" applyFont="1" applyFill="1" applyBorder="1" applyAlignment="1" applyProtection="1">
      <alignment horizontal="center" vertical="center" wrapText="1"/>
    </xf>
    <xf numFmtId="0" fontId="61" fillId="0" borderId="35" xfId="2" applyFont="1" applyFill="1" applyBorder="1" applyAlignment="1" applyProtection="1">
      <alignment horizontal="center" vertical="center" wrapText="1"/>
    </xf>
    <xf numFmtId="0" fontId="61" fillId="0" borderId="34" xfId="2" applyFont="1" applyFill="1" applyBorder="1" applyAlignment="1" applyProtection="1">
      <alignment horizontal="center" vertical="center" wrapText="1"/>
    </xf>
    <xf numFmtId="0" fontId="61" fillId="0" borderId="28" xfId="2" applyFont="1" applyFill="1" applyBorder="1" applyAlignment="1" applyProtection="1">
      <alignment horizontal="center" vertical="center" wrapText="1"/>
    </xf>
    <xf numFmtId="0" fontId="20" fillId="28" borderId="35" xfId="3" applyNumberFormat="1" applyFont="1" applyFill="1" applyBorder="1" applyAlignment="1" applyProtection="1">
      <alignment horizontal="center" vertical="center" wrapText="1"/>
    </xf>
    <xf numFmtId="0" fontId="20" fillId="28" borderId="34" xfId="3" applyNumberFormat="1" applyFont="1" applyFill="1" applyBorder="1" applyAlignment="1" applyProtection="1">
      <alignment horizontal="center" vertical="center" wrapText="1"/>
    </xf>
    <xf numFmtId="0" fontId="20" fillId="28" borderId="28" xfId="3" applyNumberFormat="1" applyFont="1" applyFill="1" applyBorder="1" applyAlignment="1" applyProtection="1">
      <alignment horizontal="center" vertical="center" wrapText="1"/>
    </xf>
    <xf numFmtId="4" fontId="17" fillId="36" borderId="35" xfId="2" applyNumberFormat="1" applyFont="1" applyFill="1" applyBorder="1" applyAlignment="1" applyProtection="1">
      <alignment horizontal="center" vertical="center" wrapText="1"/>
    </xf>
    <xf numFmtId="4" fontId="17" fillId="36" borderId="34" xfId="2" applyNumberFormat="1" applyFont="1" applyFill="1" applyBorder="1" applyAlignment="1" applyProtection="1">
      <alignment horizontal="center" vertical="center" wrapText="1"/>
    </xf>
    <xf numFmtId="4" fontId="17" fillId="36" borderId="28" xfId="2" applyNumberFormat="1" applyFont="1" applyFill="1" applyBorder="1" applyAlignment="1" applyProtection="1">
      <alignment horizontal="center" vertical="center" wrapText="1"/>
    </xf>
    <xf numFmtId="9" fontId="61" fillId="31" borderId="35" xfId="2" applyNumberFormat="1" applyFont="1" applyFill="1" applyBorder="1" applyAlignment="1" applyProtection="1">
      <alignment horizontal="center" vertical="center" wrapText="1"/>
    </xf>
    <xf numFmtId="9" fontId="61" fillId="31" borderId="34" xfId="2" applyNumberFormat="1" applyFont="1" applyFill="1" applyBorder="1" applyAlignment="1" applyProtection="1">
      <alignment horizontal="center" vertical="center" wrapText="1"/>
    </xf>
    <xf numFmtId="9" fontId="61" fillId="31" borderId="28" xfId="2" applyNumberFormat="1" applyFont="1" applyFill="1" applyBorder="1" applyAlignment="1" applyProtection="1">
      <alignment horizontal="center" vertical="center" wrapText="1"/>
    </xf>
    <xf numFmtId="0" fontId="61" fillId="28" borderId="35" xfId="2" applyFont="1" applyFill="1" applyBorder="1" applyAlignment="1" applyProtection="1">
      <alignment horizontal="center" vertical="center" wrapText="1"/>
    </xf>
    <xf numFmtId="0" fontId="61" fillId="28" borderId="34" xfId="2" applyFont="1" applyFill="1" applyBorder="1" applyAlignment="1" applyProtection="1">
      <alignment horizontal="center" vertical="center" wrapText="1"/>
    </xf>
    <xf numFmtId="0" fontId="61" fillId="28" borderId="28" xfId="2" applyFont="1" applyFill="1" applyBorder="1" applyAlignment="1" applyProtection="1">
      <alignment horizontal="center" vertical="center" wrapText="1"/>
    </xf>
    <xf numFmtId="0" fontId="47" fillId="0" borderId="71" xfId="3" applyNumberFormat="1" applyFont="1" applyFill="1" applyBorder="1" applyAlignment="1" applyProtection="1">
      <alignment horizontal="center" vertical="center" wrapText="1"/>
    </xf>
    <xf numFmtId="0" fontId="47" fillId="0" borderId="34" xfId="3" applyNumberFormat="1" applyFont="1" applyFill="1" applyBorder="1" applyAlignment="1" applyProtection="1">
      <alignment horizontal="center" vertical="center" wrapText="1"/>
    </xf>
    <xf numFmtId="0" fontId="47" fillId="0" borderId="28" xfId="3" applyNumberFormat="1" applyFont="1" applyFill="1" applyBorder="1" applyAlignment="1" applyProtection="1">
      <alignment horizontal="center" vertical="center" wrapText="1"/>
    </xf>
    <xf numFmtId="0" fontId="47" fillId="33" borderId="35" xfId="2" applyNumberFormat="1" applyFont="1" applyFill="1" applyBorder="1" applyAlignment="1" applyProtection="1">
      <alignment horizontal="center" vertical="center" wrapText="1"/>
    </xf>
    <xf numFmtId="0" fontId="47" fillId="33" borderId="28" xfId="2" applyNumberFormat="1" applyFont="1" applyFill="1" applyBorder="1" applyAlignment="1" applyProtection="1">
      <alignment horizontal="center" vertical="center" wrapText="1"/>
    </xf>
    <xf numFmtId="9" fontId="47" fillId="33" borderId="2" xfId="2" applyNumberFormat="1" applyFont="1" applyFill="1" applyBorder="1" applyAlignment="1" applyProtection="1">
      <alignment horizontal="center" vertical="center" wrapText="1"/>
    </xf>
    <xf numFmtId="9" fontId="47" fillId="33" borderId="47" xfId="2" applyNumberFormat="1" applyFont="1" applyFill="1" applyBorder="1" applyAlignment="1" applyProtection="1">
      <alignment horizontal="center" vertical="center" wrapText="1"/>
    </xf>
    <xf numFmtId="9" fontId="47" fillId="33" borderId="37" xfId="2" applyNumberFormat="1" applyFont="1" applyFill="1" applyBorder="1" applyAlignment="1" applyProtection="1">
      <alignment horizontal="center" vertical="center" wrapText="1"/>
    </xf>
    <xf numFmtId="0" fontId="83" fillId="0" borderId="35" xfId="1" applyNumberFormat="1" applyFont="1" applyFill="1" applyBorder="1" applyAlignment="1" applyProtection="1">
      <alignment horizontal="center" vertical="center" wrapText="1"/>
    </xf>
    <xf numFmtId="0" fontId="83" fillId="0" borderId="28" xfId="1" applyNumberFormat="1" applyFont="1" applyFill="1" applyBorder="1" applyAlignment="1" applyProtection="1">
      <alignment horizontal="center" vertical="center" wrapText="1"/>
    </xf>
    <xf numFmtId="9" fontId="47" fillId="39" borderId="71" xfId="2" applyNumberFormat="1" applyFont="1" applyFill="1" applyBorder="1" applyAlignment="1" applyProtection="1">
      <alignment horizontal="center" vertical="center" wrapText="1"/>
    </xf>
    <xf numFmtId="9" fontId="47" fillId="39" borderId="34" xfId="2" applyNumberFormat="1" applyFont="1" applyFill="1" applyBorder="1" applyAlignment="1" applyProtection="1">
      <alignment horizontal="center" vertical="center" wrapText="1"/>
    </xf>
    <xf numFmtId="9" fontId="47" fillId="39" borderId="28" xfId="2" applyNumberFormat="1" applyFont="1" applyFill="1" applyBorder="1" applyAlignment="1" applyProtection="1">
      <alignment horizontal="center" vertical="center" wrapText="1"/>
    </xf>
    <xf numFmtId="169" fontId="91" fillId="0" borderId="71" xfId="3" applyFont="1" applyFill="1" applyBorder="1" applyAlignment="1" applyProtection="1">
      <alignment horizontal="center" vertical="center" wrapText="1"/>
    </xf>
    <xf numFmtId="169" fontId="91" fillId="0" borderId="34" xfId="3" applyFont="1" applyFill="1" applyBorder="1" applyAlignment="1" applyProtection="1">
      <alignment horizontal="center" vertical="center" wrapText="1"/>
    </xf>
    <xf numFmtId="169" fontId="91" fillId="0" borderId="28" xfId="3" applyFont="1" applyFill="1" applyBorder="1" applyAlignment="1" applyProtection="1">
      <alignment horizontal="center" vertical="center" wrapText="1"/>
    </xf>
    <xf numFmtId="0" fontId="47" fillId="33" borderId="2" xfId="2" applyNumberFormat="1" applyFont="1" applyFill="1" applyBorder="1" applyAlignment="1" applyProtection="1">
      <alignment horizontal="center" vertical="center" wrapText="1"/>
    </xf>
    <xf numFmtId="0" fontId="47" fillId="33" borderId="47" xfId="2" applyNumberFormat="1" applyFont="1" applyFill="1" applyBorder="1" applyAlignment="1" applyProtection="1">
      <alignment horizontal="center" vertical="center" wrapText="1"/>
    </xf>
    <xf numFmtId="0" fontId="47" fillId="33" borderId="37" xfId="2" applyNumberFormat="1" applyFont="1" applyFill="1" applyBorder="1" applyAlignment="1" applyProtection="1">
      <alignment horizontal="center" vertical="center" wrapText="1"/>
    </xf>
    <xf numFmtId="0" fontId="68" fillId="33" borderId="35" xfId="0" applyFont="1" applyFill="1" applyBorder="1" applyAlignment="1" applyProtection="1">
      <alignment horizontal="center" vertical="center" textRotation="255" wrapText="1"/>
    </xf>
    <xf numFmtId="0" fontId="68" fillId="33" borderId="28" xfId="0" applyFont="1" applyFill="1" applyBorder="1" applyAlignment="1" applyProtection="1">
      <alignment horizontal="center" vertical="center" textRotation="255" wrapText="1"/>
    </xf>
    <xf numFmtId="0" fontId="20" fillId="0" borderId="35" xfId="3" applyNumberFormat="1" applyFont="1" applyFill="1" applyBorder="1" applyAlignment="1" applyProtection="1">
      <alignment horizontal="center" vertical="center" wrapText="1"/>
    </xf>
    <xf numFmtId="0" fontId="20" fillId="0" borderId="34" xfId="3" applyNumberFormat="1" applyFont="1" applyFill="1" applyBorder="1" applyAlignment="1" applyProtection="1">
      <alignment horizontal="center" vertical="center" wrapText="1"/>
    </xf>
    <xf numFmtId="0" fontId="20" fillId="0" borderId="28" xfId="3" applyNumberFormat="1" applyFont="1" applyFill="1" applyBorder="1" applyAlignment="1" applyProtection="1">
      <alignment horizontal="center" vertical="center" wrapText="1"/>
    </xf>
    <xf numFmtId="191" fontId="17" fillId="37" borderId="2" xfId="3" applyNumberFormat="1" applyFont="1" applyFill="1" applyBorder="1" applyAlignment="1" applyProtection="1">
      <alignment horizontal="center" vertical="center" wrapText="1"/>
    </xf>
    <xf numFmtId="191" fontId="17" fillId="37" borderId="37" xfId="3" applyNumberFormat="1" applyFont="1" applyFill="1" applyBorder="1" applyAlignment="1" applyProtection="1">
      <alignment horizontal="center" vertical="center" wrapText="1"/>
    </xf>
    <xf numFmtId="171" fontId="17" fillId="37" borderId="22" xfId="3" applyNumberFormat="1" applyFont="1" applyFill="1" applyBorder="1" applyAlignment="1" applyProtection="1">
      <alignment horizontal="center" vertical="center" wrapText="1"/>
    </xf>
    <xf numFmtId="0" fontId="67" fillId="37" borderId="2" xfId="356" applyFont="1" applyFill="1" applyBorder="1" applyAlignment="1" applyProtection="1">
      <alignment horizontal="center" vertical="center"/>
      <protection hidden="1"/>
    </xf>
    <xf numFmtId="0" fontId="67" fillId="37" borderId="47" xfId="356" applyFont="1" applyFill="1" applyBorder="1" applyAlignment="1" applyProtection="1">
      <alignment horizontal="center" vertical="center"/>
      <protection hidden="1"/>
    </xf>
    <xf numFmtId="0" fontId="67" fillId="37" borderId="37" xfId="356" applyFont="1" applyFill="1" applyBorder="1" applyAlignment="1" applyProtection="1">
      <alignment horizontal="center" vertical="center"/>
      <protection hidden="1"/>
    </xf>
    <xf numFmtId="0" fontId="17" fillId="34" borderId="2" xfId="0" applyFont="1" applyFill="1" applyBorder="1" applyAlignment="1" applyProtection="1">
      <alignment horizontal="center" vertical="center"/>
    </xf>
    <xf numFmtId="0" fontId="17" fillId="34" borderId="37" xfId="0" applyFont="1" applyFill="1" applyBorder="1" applyAlignment="1" applyProtection="1">
      <alignment horizontal="center" vertical="center"/>
    </xf>
    <xf numFmtId="0" fontId="83" fillId="0" borderId="36" xfId="1" applyNumberFormat="1" applyFont="1" applyFill="1" applyBorder="1" applyAlignment="1" applyProtection="1">
      <alignment horizontal="center" vertical="center" wrapText="1"/>
    </xf>
    <xf numFmtId="0" fontId="83" fillId="0" borderId="38" xfId="1" applyNumberFormat="1" applyFont="1" applyFill="1" applyBorder="1" applyAlignment="1" applyProtection="1">
      <alignment horizontal="center" vertical="center" wrapText="1"/>
    </xf>
    <xf numFmtId="0" fontId="83" fillId="0" borderId="39" xfId="1" applyNumberFormat="1" applyFont="1" applyFill="1" applyBorder="1" applyAlignment="1" applyProtection="1">
      <alignment horizontal="center" vertical="center" wrapText="1"/>
    </xf>
    <xf numFmtId="0" fontId="83" fillId="0" borderId="20" xfId="1" applyNumberFormat="1" applyFont="1" applyFill="1" applyBorder="1" applyAlignment="1" applyProtection="1">
      <alignment horizontal="center" vertical="center" wrapText="1"/>
    </xf>
    <xf numFmtId="0" fontId="83" fillId="0" borderId="21" xfId="1" applyNumberFormat="1" applyFont="1" applyFill="1" applyBorder="1" applyAlignment="1" applyProtection="1">
      <alignment horizontal="center" vertical="center" wrapText="1"/>
    </xf>
    <xf numFmtId="0" fontId="83" fillId="0" borderId="17" xfId="1" applyNumberFormat="1" applyFont="1" applyFill="1" applyBorder="1" applyAlignment="1" applyProtection="1">
      <alignment horizontal="center" vertical="center" wrapText="1"/>
    </xf>
    <xf numFmtId="0" fontId="89" fillId="31" borderId="2" xfId="2" applyNumberFormat="1" applyFont="1" applyFill="1" applyBorder="1" applyAlignment="1" applyProtection="1">
      <alignment horizontal="center" vertical="center" wrapText="1"/>
    </xf>
    <xf numFmtId="0" fontId="89" fillId="31" borderId="47" xfId="2" applyNumberFormat="1" applyFont="1" applyFill="1" applyBorder="1" applyAlignment="1" applyProtection="1">
      <alignment horizontal="center" vertical="center" wrapText="1"/>
    </xf>
    <xf numFmtId="0" fontId="89" fillId="31" borderId="37" xfId="2" applyNumberFormat="1" applyFont="1" applyFill="1" applyBorder="1" applyAlignment="1" applyProtection="1">
      <alignment horizontal="center" vertical="center" wrapText="1"/>
    </xf>
    <xf numFmtId="0" fontId="19" fillId="0" borderId="0" xfId="2" applyFont="1" applyFill="1" applyAlignment="1" applyProtection="1">
      <alignment horizontal="left" vertical="center" wrapText="1"/>
    </xf>
    <xf numFmtId="169" fontId="20" fillId="33" borderId="2" xfId="3" applyFont="1" applyFill="1" applyBorder="1" applyAlignment="1" applyProtection="1">
      <alignment horizontal="center" vertical="center" wrapText="1"/>
    </xf>
    <xf numFmtId="169" fontId="20" fillId="33" borderId="37" xfId="3" applyFont="1" applyFill="1" applyBorder="1" applyAlignment="1" applyProtection="1">
      <alignment horizontal="center" vertical="center" wrapText="1"/>
    </xf>
    <xf numFmtId="170" fontId="17" fillId="33" borderId="22" xfId="3" applyNumberFormat="1" applyFont="1" applyFill="1" applyBorder="1" applyAlignment="1" applyProtection="1">
      <alignment horizontal="center" vertical="center" wrapText="1"/>
    </xf>
    <xf numFmtId="169" fontId="17" fillId="33" borderId="22" xfId="3" applyFont="1" applyFill="1" applyBorder="1" applyAlignment="1" applyProtection="1">
      <alignment horizontal="center" vertical="center" wrapText="1"/>
    </xf>
    <xf numFmtId="0" fontId="82" fillId="33" borderId="2" xfId="0" applyFont="1" applyFill="1" applyBorder="1" applyAlignment="1" applyProtection="1">
      <alignment horizontal="center" vertical="center" wrapText="1"/>
    </xf>
    <xf numFmtId="0" fontId="82" fillId="33" borderId="47" xfId="0" applyFont="1" applyFill="1" applyBorder="1" applyAlignment="1" applyProtection="1">
      <alignment horizontal="center" vertical="center" wrapText="1"/>
    </xf>
    <xf numFmtId="0" fontId="82" fillId="33" borderId="37" xfId="0" applyFont="1" applyFill="1" applyBorder="1" applyAlignment="1" applyProtection="1">
      <alignment horizontal="center" vertical="center" wrapText="1"/>
    </xf>
    <xf numFmtId="0" fontId="82" fillId="37" borderId="2" xfId="0" applyNumberFormat="1" applyFont="1" applyFill="1" applyBorder="1" applyAlignment="1" applyProtection="1">
      <alignment horizontal="center" vertical="center" wrapText="1"/>
    </xf>
    <xf numFmtId="0" fontId="82" fillId="37" borderId="47" xfId="0" applyNumberFormat="1" applyFont="1" applyFill="1" applyBorder="1" applyAlignment="1" applyProtection="1">
      <alignment horizontal="center" vertical="center" wrapText="1"/>
    </xf>
    <xf numFmtId="0" fontId="82" fillId="37" borderId="37" xfId="0" applyNumberFormat="1" applyFont="1" applyFill="1" applyBorder="1" applyAlignment="1" applyProtection="1">
      <alignment horizontal="center" vertical="center" wrapText="1"/>
    </xf>
    <xf numFmtId="0" fontId="82" fillId="32" borderId="2" xfId="0" applyNumberFormat="1" applyFont="1" applyFill="1" applyBorder="1" applyAlignment="1" applyProtection="1">
      <alignment horizontal="center" vertical="center" wrapText="1"/>
    </xf>
    <xf numFmtId="0" fontId="82" fillId="32" borderId="47" xfId="0" applyNumberFormat="1" applyFont="1" applyFill="1" applyBorder="1" applyAlignment="1" applyProtection="1">
      <alignment horizontal="center" vertical="center" wrapText="1"/>
    </xf>
    <xf numFmtId="0" fontId="82" fillId="32" borderId="37" xfId="0" applyNumberFormat="1" applyFont="1" applyFill="1" applyBorder="1" applyAlignment="1" applyProtection="1">
      <alignment horizontal="center" vertical="center" wrapText="1"/>
    </xf>
    <xf numFmtId="0" fontId="67" fillId="37" borderId="0" xfId="2" applyFont="1" applyFill="1" applyBorder="1" applyAlignment="1" applyProtection="1">
      <alignment horizontal="center" vertical="center" wrapText="1"/>
    </xf>
    <xf numFmtId="0" fontId="61" fillId="37" borderId="35" xfId="2" applyFont="1" applyFill="1" applyBorder="1" applyAlignment="1" applyProtection="1">
      <alignment horizontal="center" vertical="center" wrapText="1"/>
    </xf>
    <xf numFmtId="0" fontId="61" fillId="37" borderId="34" xfId="2" applyFont="1" applyFill="1" applyBorder="1" applyAlignment="1" applyProtection="1">
      <alignment horizontal="center" vertical="center" wrapText="1"/>
    </xf>
    <xf numFmtId="0" fontId="61" fillId="37" borderId="28" xfId="2" applyFont="1" applyFill="1" applyBorder="1" applyAlignment="1" applyProtection="1">
      <alignment horizontal="center" vertical="center" wrapText="1"/>
    </xf>
    <xf numFmtId="0" fontId="17" fillId="34" borderId="47" xfId="0" applyFont="1" applyFill="1" applyBorder="1" applyAlignment="1" applyProtection="1">
      <alignment horizontal="center" vertical="center"/>
    </xf>
    <xf numFmtId="0" fontId="47" fillId="0" borderId="71" xfId="3" applyNumberFormat="1" applyFont="1" applyFill="1" applyBorder="1" applyAlignment="1" applyProtection="1">
      <alignment horizontal="center" vertical="center" wrapText="1"/>
      <protection hidden="1"/>
    </xf>
    <xf numFmtId="0" fontId="47" fillId="0" borderId="28" xfId="3" applyNumberFormat="1" applyFont="1" applyFill="1" applyBorder="1" applyAlignment="1" applyProtection="1">
      <alignment horizontal="center" vertical="center" wrapText="1"/>
      <protection hidden="1"/>
    </xf>
    <xf numFmtId="0" fontId="79" fillId="31" borderId="22" xfId="2" applyFont="1" applyFill="1" applyBorder="1" applyAlignment="1" applyProtection="1">
      <alignment horizontal="center" vertical="center" wrapText="1"/>
    </xf>
    <xf numFmtId="0" fontId="20" fillId="37" borderId="22" xfId="3" applyNumberFormat="1" applyFont="1" applyFill="1" applyBorder="1" applyAlignment="1" applyProtection="1">
      <alignment horizontal="center" vertical="center" wrapText="1"/>
    </xf>
    <xf numFmtId="0" fontId="20" fillId="0" borderId="22" xfId="2" applyFont="1" applyFill="1" applyBorder="1" applyAlignment="1" applyProtection="1">
      <alignment horizontal="center" vertical="center" wrapText="1"/>
    </xf>
    <xf numFmtId="0" fontId="20" fillId="33" borderId="22" xfId="2" applyNumberFormat="1" applyFont="1" applyFill="1" applyBorder="1" applyAlignment="1" applyProtection="1">
      <alignment horizontal="center" vertical="center" wrapText="1"/>
    </xf>
    <xf numFmtId="0" fontId="20" fillId="38" borderId="22" xfId="2" applyNumberFormat="1" applyFont="1" applyFill="1" applyBorder="1" applyAlignment="1" applyProtection="1">
      <alignment horizontal="center" vertical="center" wrapText="1"/>
    </xf>
    <xf numFmtId="0" fontId="78" fillId="33" borderId="2" xfId="2" applyFont="1" applyFill="1" applyBorder="1" applyAlignment="1" applyProtection="1">
      <alignment horizontal="center" vertical="center" wrapText="1"/>
    </xf>
    <xf numFmtId="0" fontId="78" fillId="33" borderId="37" xfId="2" applyFont="1" applyFill="1" applyBorder="1" applyAlignment="1" applyProtection="1">
      <alignment horizontal="center" vertical="center" wrapText="1"/>
    </xf>
    <xf numFmtId="0" fontId="78" fillId="38" borderId="2" xfId="2" applyFont="1" applyFill="1" applyBorder="1" applyAlignment="1" applyProtection="1">
      <alignment horizontal="center" vertical="center" wrapText="1"/>
    </xf>
    <xf numFmtId="0" fontId="78" fillId="38" borderId="37" xfId="2" applyFont="1" applyFill="1" applyBorder="1" applyAlignment="1" applyProtection="1">
      <alignment horizontal="center" vertical="center" wrapText="1"/>
    </xf>
    <xf numFmtId="0" fontId="108" fillId="48" borderId="99" xfId="0" applyFont="1" applyFill="1" applyBorder="1" applyAlignment="1" applyProtection="1">
      <alignment horizontal="center" vertical="center"/>
      <protection hidden="1"/>
    </xf>
    <xf numFmtId="0" fontId="108" fillId="48" borderId="47" xfId="0" applyFont="1" applyFill="1" applyBorder="1" applyAlignment="1" applyProtection="1">
      <alignment horizontal="center" vertical="center"/>
      <protection hidden="1"/>
    </xf>
    <xf numFmtId="0" fontId="108" fillId="48" borderId="37" xfId="0" applyFont="1" applyFill="1" applyBorder="1" applyAlignment="1" applyProtection="1">
      <alignment horizontal="center" vertical="center"/>
      <protection hidden="1"/>
    </xf>
    <xf numFmtId="0" fontId="108" fillId="44" borderId="99" xfId="0" applyFont="1" applyFill="1" applyBorder="1" applyAlignment="1" applyProtection="1">
      <alignment horizontal="center" vertical="center"/>
      <protection hidden="1"/>
    </xf>
    <xf numFmtId="0" fontId="108" fillId="44" borderId="47" xfId="0" applyFont="1" applyFill="1" applyBorder="1" applyAlignment="1" applyProtection="1">
      <alignment horizontal="center" vertical="center"/>
      <protection hidden="1"/>
    </xf>
    <xf numFmtId="0" fontId="108" fillId="44" borderId="37" xfId="0" applyFont="1" applyFill="1" applyBorder="1" applyAlignment="1" applyProtection="1">
      <alignment horizontal="center" vertical="center"/>
      <protection hidden="1"/>
    </xf>
    <xf numFmtId="0" fontId="66" fillId="43" borderId="96" xfId="0" applyFont="1" applyFill="1" applyBorder="1" applyAlignment="1" applyProtection="1">
      <alignment horizontal="center" vertical="center"/>
      <protection hidden="1"/>
    </xf>
    <xf numFmtId="0" fontId="66" fillId="43" borderId="97" xfId="0" applyFont="1" applyFill="1" applyBorder="1" applyAlignment="1" applyProtection="1">
      <alignment horizontal="center" vertical="center"/>
      <protection hidden="1"/>
    </xf>
    <xf numFmtId="0" fontId="66" fillId="43" borderId="98" xfId="0" applyFont="1" applyFill="1" applyBorder="1" applyAlignment="1" applyProtection="1">
      <alignment horizontal="center" vertical="center"/>
      <protection hidden="1"/>
    </xf>
    <xf numFmtId="0" fontId="16" fillId="37" borderId="22" xfId="0" applyFont="1" applyFill="1" applyBorder="1" applyAlignment="1" applyProtection="1">
      <alignment horizontal="center" vertical="center"/>
      <protection hidden="1"/>
    </xf>
    <xf numFmtId="0" fontId="83" fillId="37" borderId="58" xfId="0" applyFont="1" applyFill="1" applyBorder="1" applyAlignment="1" applyProtection="1">
      <alignment horizontal="center"/>
      <protection hidden="1"/>
    </xf>
    <xf numFmtId="0" fontId="83" fillId="37" borderId="59" xfId="0" applyFont="1" applyFill="1" applyBorder="1" applyAlignment="1" applyProtection="1">
      <alignment horizontal="center"/>
      <protection hidden="1"/>
    </xf>
    <xf numFmtId="0" fontId="83" fillId="37" borderId="60" xfId="0" applyFont="1" applyFill="1" applyBorder="1" applyAlignment="1" applyProtection="1">
      <alignment horizontal="center"/>
      <protection hidden="1"/>
    </xf>
    <xf numFmtId="0" fontId="16" fillId="0" borderId="70" xfId="0" applyFont="1" applyBorder="1" applyAlignment="1" applyProtection="1">
      <alignment horizontal="center"/>
      <protection hidden="1"/>
    </xf>
    <xf numFmtId="0" fontId="0" fillId="0" borderId="70" xfId="0" applyBorder="1" applyAlignment="1" applyProtection="1">
      <alignment horizontal="center"/>
      <protection hidden="1"/>
    </xf>
    <xf numFmtId="0" fontId="86" fillId="0" borderId="58" xfId="356" applyFont="1" applyBorder="1" applyAlignment="1" applyProtection="1">
      <alignment horizontal="center" vertical="center"/>
      <protection hidden="1"/>
    </xf>
    <xf numFmtId="0" fontId="86" fillId="0" borderId="59" xfId="356" applyFont="1" applyBorder="1" applyAlignment="1" applyProtection="1">
      <alignment horizontal="center" vertical="center"/>
      <protection hidden="1"/>
    </xf>
    <xf numFmtId="0" fontId="86" fillId="0" borderId="60" xfId="356" applyFont="1" applyBorder="1" applyAlignment="1" applyProtection="1">
      <alignment horizontal="center" vertical="center"/>
      <protection hidden="1"/>
    </xf>
    <xf numFmtId="191" fontId="88" fillId="37" borderId="71" xfId="0" applyNumberFormat="1" applyFont="1" applyFill="1" applyBorder="1" applyAlignment="1" applyProtection="1">
      <alignment horizontal="center" vertical="center" wrapText="1"/>
      <protection hidden="1"/>
    </xf>
    <xf numFmtId="191" fontId="88" fillId="37" borderId="28" xfId="0" applyNumberFormat="1" applyFont="1" applyFill="1" applyBorder="1" applyAlignment="1" applyProtection="1">
      <alignment horizontal="center" vertical="center" wrapText="1"/>
      <protection hidden="1"/>
    </xf>
    <xf numFmtId="10" fontId="87" fillId="37" borderId="71" xfId="357" applyNumberFormat="1" applyFont="1" applyFill="1" applyBorder="1" applyAlignment="1" applyProtection="1">
      <alignment horizontal="center" vertical="center"/>
      <protection hidden="1"/>
    </xf>
    <xf numFmtId="10" fontId="87" fillId="37" borderId="28" xfId="357" applyNumberFormat="1" applyFont="1" applyFill="1" applyBorder="1" applyAlignment="1" applyProtection="1">
      <alignment horizontal="center" vertical="center"/>
      <protection hidden="1"/>
    </xf>
    <xf numFmtId="0" fontId="17" fillId="37" borderId="45" xfId="0" applyFont="1" applyFill="1" applyBorder="1" applyAlignment="1" applyProtection="1">
      <alignment horizontal="center" vertical="center" wrapText="1"/>
      <protection hidden="1"/>
    </xf>
    <xf numFmtId="0" fontId="17" fillId="37" borderId="44" xfId="0" applyFont="1" applyFill="1" applyBorder="1" applyAlignment="1" applyProtection="1">
      <alignment horizontal="center" vertical="center" wrapText="1"/>
      <protection hidden="1"/>
    </xf>
    <xf numFmtId="0" fontId="17" fillId="37" borderId="48" xfId="0" applyFont="1" applyFill="1" applyBorder="1" applyAlignment="1" applyProtection="1">
      <alignment horizontal="center" vertical="center" wrapText="1"/>
      <protection hidden="1"/>
    </xf>
    <xf numFmtId="0" fontId="17" fillId="37" borderId="46" xfId="0" applyFont="1" applyFill="1" applyBorder="1" applyAlignment="1" applyProtection="1">
      <alignment horizontal="center" vertical="center" wrapText="1"/>
      <protection hidden="1"/>
    </xf>
    <xf numFmtId="0" fontId="17" fillId="37" borderId="49" xfId="0" applyFont="1" applyFill="1" applyBorder="1" applyAlignment="1" applyProtection="1">
      <alignment horizontal="center" vertical="center" wrapText="1"/>
      <protection hidden="1"/>
    </xf>
    <xf numFmtId="0" fontId="17" fillId="37" borderId="61" xfId="0" applyFont="1" applyFill="1" applyBorder="1" applyAlignment="1" applyProtection="1">
      <alignment horizontal="center" vertical="center" wrapText="1"/>
      <protection hidden="1"/>
    </xf>
    <xf numFmtId="0" fontId="17" fillId="37" borderId="56" xfId="0" applyFont="1" applyFill="1" applyBorder="1" applyAlignment="1" applyProtection="1">
      <alignment horizontal="center" vertical="center" wrapText="1"/>
      <protection hidden="1"/>
    </xf>
    <xf numFmtId="0" fontId="17" fillId="37" borderId="55" xfId="0" applyFont="1" applyFill="1" applyBorder="1" applyAlignment="1" applyProtection="1">
      <alignment horizontal="center" vertical="center" wrapText="1"/>
      <protection hidden="1"/>
    </xf>
    <xf numFmtId="0" fontId="17" fillId="37" borderId="108" xfId="0" applyFont="1" applyFill="1" applyBorder="1" applyAlignment="1" applyProtection="1">
      <alignment horizontal="center" vertical="center" wrapText="1"/>
      <protection hidden="1"/>
    </xf>
    <xf numFmtId="0" fontId="17" fillId="37" borderId="109" xfId="0" applyFont="1" applyFill="1" applyBorder="1" applyAlignment="1" applyProtection="1">
      <alignment horizontal="center" vertical="center" wrapText="1"/>
      <protection hidden="1"/>
    </xf>
    <xf numFmtId="0" fontId="17" fillId="37" borderId="110" xfId="0" applyFont="1" applyFill="1" applyBorder="1" applyAlignment="1" applyProtection="1">
      <alignment horizontal="center" vertical="center" wrapText="1"/>
      <protection hidden="1"/>
    </xf>
    <xf numFmtId="0" fontId="18" fillId="37" borderId="48" xfId="0" applyFont="1" applyFill="1" applyBorder="1" applyAlignment="1" applyProtection="1">
      <alignment horizontal="center" vertical="center" wrapText="1"/>
      <protection hidden="1"/>
    </xf>
    <xf numFmtId="0" fontId="16" fillId="37" borderId="49" xfId="0" applyFont="1" applyFill="1" applyBorder="1" applyAlignment="1" applyProtection="1">
      <alignment horizontal="center" vertical="center" wrapText="1"/>
      <protection hidden="1"/>
    </xf>
    <xf numFmtId="0" fontId="16" fillId="37" borderId="50" xfId="0" applyFont="1" applyFill="1" applyBorder="1" applyAlignment="1" applyProtection="1">
      <alignment horizontal="center" vertical="center" wrapText="1"/>
      <protection hidden="1"/>
    </xf>
    <xf numFmtId="0" fontId="16" fillId="37" borderId="51" xfId="0" applyFont="1" applyFill="1" applyBorder="1" applyAlignment="1" applyProtection="1">
      <alignment horizontal="center" vertical="center" wrapText="1"/>
      <protection hidden="1"/>
    </xf>
    <xf numFmtId="0" fontId="16" fillId="37" borderId="61" xfId="0" applyFont="1" applyFill="1" applyBorder="1" applyAlignment="1" applyProtection="1">
      <alignment horizontal="center" vertical="center" wrapText="1"/>
      <protection hidden="1"/>
    </xf>
    <xf numFmtId="0" fontId="16" fillId="37" borderId="55" xfId="0" applyFont="1" applyFill="1" applyBorder="1" applyAlignment="1" applyProtection="1">
      <alignment horizontal="center" vertical="center" wrapText="1"/>
      <protection hidden="1"/>
    </xf>
    <xf numFmtId="0" fontId="58" fillId="28" borderId="45" xfId="356" applyFont="1" applyFill="1" applyBorder="1" applyAlignment="1" applyProtection="1">
      <alignment horizontal="center" vertical="center" textRotation="90" wrapText="1"/>
      <protection hidden="1"/>
    </xf>
    <xf numFmtId="0" fontId="58" fillId="28" borderId="52" xfId="356" applyFont="1" applyFill="1" applyBorder="1" applyAlignment="1" applyProtection="1">
      <alignment horizontal="center" vertical="center" textRotation="90" wrapText="1"/>
      <protection hidden="1"/>
    </xf>
    <xf numFmtId="0" fontId="58" fillId="28" borderId="111" xfId="356" applyFont="1" applyFill="1" applyBorder="1" applyAlignment="1" applyProtection="1">
      <alignment horizontal="center" vertical="center" textRotation="90" wrapText="1"/>
      <protection hidden="1"/>
    </xf>
    <xf numFmtId="0" fontId="18" fillId="28" borderId="45" xfId="0" applyFont="1" applyFill="1" applyBorder="1" applyAlignment="1" applyProtection="1">
      <alignment horizontal="center" vertical="center" wrapText="1"/>
      <protection hidden="1"/>
    </xf>
    <xf numFmtId="0" fontId="18" fillId="28" borderId="54" xfId="0" applyFont="1" applyFill="1" applyBorder="1" applyAlignment="1" applyProtection="1">
      <alignment horizontal="center" vertical="center" wrapText="1"/>
      <protection hidden="1"/>
    </xf>
    <xf numFmtId="0" fontId="58" fillId="40" borderId="45" xfId="356" applyFont="1" applyFill="1" applyBorder="1" applyAlignment="1" applyProtection="1">
      <alignment horizontal="center" vertical="center" textRotation="90" wrapText="1"/>
      <protection hidden="1"/>
    </xf>
    <xf numFmtId="0" fontId="58" fillId="40" borderId="52" xfId="356" applyFont="1" applyFill="1" applyBorder="1" applyAlignment="1" applyProtection="1">
      <alignment horizontal="center" vertical="center" textRotation="90" wrapText="1"/>
      <protection hidden="1"/>
    </xf>
    <xf numFmtId="0" fontId="58" fillId="40" borderId="111" xfId="356" applyFont="1" applyFill="1" applyBorder="1" applyAlignment="1" applyProtection="1">
      <alignment horizontal="center" vertical="center" textRotation="90" wrapText="1"/>
      <protection hidden="1"/>
    </xf>
    <xf numFmtId="0" fontId="17" fillId="28" borderId="62" xfId="0" quotePrefix="1" applyFont="1" applyFill="1" applyBorder="1" applyAlignment="1" applyProtection="1">
      <alignment horizontal="center" vertical="center" wrapText="1"/>
      <protection hidden="1"/>
    </xf>
    <xf numFmtId="0" fontId="17" fillId="28" borderId="63" xfId="0" quotePrefix="1" applyFont="1" applyFill="1" applyBorder="1" applyAlignment="1" applyProtection="1">
      <alignment horizontal="center" vertical="center" wrapText="1"/>
      <protection hidden="1"/>
    </xf>
    <xf numFmtId="0" fontId="17" fillId="28" borderId="53" xfId="0" quotePrefix="1" applyFont="1" applyFill="1" applyBorder="1" applyAlignment="1" applyProtection="1">
      <alignment horizontal="center" vertical="center" wrapText="1"/>
      <protection hidden="1"/>
    </xf>
    <xf numFmtId="0" fontId="20" fillId="28" borderId="48" xfId="0" applyFont="1" applyFill="1" applyBorder="1" applyAlignment="1" applyProtection="1">
      <alignment horizontal="center" vertical="center" wrapText="1"/>
      <protection hidden="1"/>
    </xf>
    <xf numFmtId="0" fontId="20" fillId="28" borderId="46" xfId="0" applyFont="1" applyFill="1" applyBorder="1" applyAlignment="1" applyProtection="1">
      <alignment horizontal="center" vertical="center" wrapText="1"/>
      <protection hidden="1"/>
    </xf>
    <xf numFmtId="0" fontId="20" fillId="28" borderId="49" xfId="0" applyFont="1" applyFill="1" applyBorder="1" applyAlignment="1" applyProtection="1">
      <alignment horizontal="center" vertical="center" wrapText="1"/>
      <protection hidden="1"/>
    </xf>
    <xf numFmtId="0" fontId="20" fillId="28" borderId="50" xfId="0" applyFont="1" applyFill="1" applyBorder="1" applyAlignment="1" applyProtection="1">
      <alignment horizontal="center" vertical="center" wrapText="1"/>
      <protection hidden="1"/>
    </xf>
    <xf numFmtId="0" fontId="20" fillId="28" borderId="0" xfId="0" applyFont="1" applyFill="1" applyBorder="1" applyAlignment="1" applyProtection="1">
      <alignment horizontal="center" vertical="center" wrapText="1"/>
      <protection hidden="1"/>
    </xf>
    <xf numFmtId="0" fontId="20" fillId="28" borderId="51" xfId="0" applyFont="1" applyFill="1" applyBorder="1" applyAlignment="1" applyProtection="1">
      <alignment horizontal="center" vertical="center" wrapText="1"/>
      <protection hidden="1"/>
    </xf>
    <xf numFmtId="0" fontId="20" fillId="28" borderId="108" xfId="0" applyFont="1" applyFill="1" applyBorder="1" applyAlignment="1" applyProtection="1">
      <alignment horizontal="center" vertical="center" wrapText="1"/>
      <protection hidden="1"/>
    </xf>
    <xf numFmtId="0" fontId="20" fillId="28" borderId="109" xfId="0" applyFont="1" applyFill="1" applyBorder="1" applyAlignment="1" applyProtection="1">
      <alignment horizontal="center" vertical="center" wrapText="1"/>
      <protection hidden="1"/>
    </xf>
    <xf numFmtId="0" fontId="20" fillId="28" borderId="110" xfId="0" applyFont="1" applyFill="1" applyBorder="1" applyAlignment="1" applyProtection="1">
      <alignment horizontal="center" vertical="center" wrapText="1"/>
      <protection hidden="1"/>
    </xf>
    <xf numFmtId="0" fontId="20" fillId="28" borderId="48" xfId="0" applyNumberFormat="1" applyFont="1" applyFill="1" applyBorder="1" applyAlignment="1" applyProtection="1">
      <alignment horizontal="left" vertical="center" wrapText="1"/>
      <protection hidden="1"/>
    </xf>
    <xf numFmtId="0" fontId="20" fillId="28" borderId="46" xfId="0" applyNumberFormat="1" applyFont="1" applyFill="1" applyBorder="1" applyAlignment="1" applyProtection="1">
      <alignment horizontal="left" vertical="center" wrapText="1"/>
      <protection hidden="1"/>
    </xf>
    <xf numFmtId="0" fontId="20" fillId="28" borderId="49" xfId="0" applyNumberFormat="1" applyFont="1" applyFill="1" applyBorder="1" applyAlignment="1" applyProtection="1">
      <alignment horizontal="left" vertical="center" wrapText="1"/>
      <protection hidden="1"/>
    </xf>
    <xf numFmtId="0" fontId="20" fillId="28" borderId="108" xfId="0" applyNumberFormat="1" applyFont="1" applyFill="1" applyBorder="1" applyAlignment="1" applyProtection="1">
      <alignment horizontal="left" vertical="center" wrapText="1"/>
      <protection hidden="1"/>
    </xf>
    <xf numFmtId="0" fontId="20" fillId="28" borderId="109" xfId="0" applyNumberFormat="1" applyFont="1" applyFill="1" applyBorder="1" applyAlignment="1" applyProtection="1">
      <alignment horizontal="left" vertical="center" wrapText="1"/>
      <protection hidden="1"/>
    </xf>
    <xf numFmtId="0" fontId="20" fillId="28" borderId="110" xfId="0" applyNumberFormat="1" applyFont="1" applyFill="1" applyBorder="1" applyAlignment="1" applyProtection="1">
      <alignment horizontal="left" vertical="center" wrapText="1"/>
      <protection hidden="1"/>
    </xf>
    <xf numFmtId="0" fontId="20" fillId="37" borderId="22" xfId="3" applyNumberFormat="1" applyFont="1" applyFill="1" applyBorder="1" applyAlignment="1" applyProtection="1">
      <alignment horizontal="center" vertical="center" wrapText="1"/>
      <protection hidden="1"/>
    </xf>
    <xf numFmtId="0" fontId="79" fillId="31" borderId="18" xfId="2" applyFont="1" applyFill="1" applyBorder="1" applyAlignment="1" applyProtection="1">
      <alignment horizontal="center" vertical="center" wrapText="1"/>
      <protection hidden="1"/>
    </xf>
    <xf numFmtId="0" fontId="79" fillId="31" borderId="0" xfId="2" applyFont="1" applyFill="1" applyBorder="1" applyAlignment="1" applyProtection="1">
      <alignment horizontal="center" vertical="center" wrapText="1"/>
      <protection hidden="1"/>
    </xf>
    <xf numFmtId="0" fontId="47" fillId="0" borderId="21" xfId="0" applyFont="1" applyBorder="1" applyAlignment="1" applyProtection="1">
      <alignment horizontal="center"/>
    </xf>
    <xf numFmtId="0" fontId="20" fillId="29" borderId="18" xfId="0" applyFont="1" applyFill="1" applyBorder="1" applyAlignment="1" applyProtection="1">
      <alignment horizontal="center" vertical="center"/>
    </xf>
    <xf numFmtId="0" fontId="20" fillId="29" borderId="0" xfId="0" applyFont="1" applyFill="1" applyBorder="1" applyAlignment="1" applyProtection="1">
      <alignment horizontal="center" vertical="center"/>
    </xf>
    <xf numFmtId="193" fontId="16" fillId="33" borderId="22" xfId="0" applyNumberFormat="1" applyFont="1" applyFill="1" applyBorder="1" applyAlignment="1" applyProtection="1">
      <alignment horizontal="center" vertical="center"/>
    </xf>
    <xf numFmtId="0" fontId="16" fillId="33" borderId="22" xfId="0" applyFont="1" applyFill="1" applyBorder="1" applyAlignment="1" applyProtection="1">
      <alignment horizontal="center" vertical="center"/>
    </xf>
    <xf numFmtId="1" fontId="47" fillId="29" borderId="22" xfId="0" applyNumberFormat="1" applyFont="1" applyFill="1" applyBorder="1" applyAlignment="1" applyProtection="1">
      <alignment horizontal="center" vertical="center"/>
    </xf>
    <xf numFmtId="1" fontId="47" fillId="29" borderId="2" xfId="0" applyNumberFormat="1" applyFont="1" applyFill="1" applyBorder="1" applyAlignment="1" applyProtection="1">
      <alignment horizontal="center" vertical="center"/>
    </xf>
    <xf numFmtId="193" fontId="16" fillId="33" borderId="70" xfId="0" applyNumberFormat="1" applyFont="1" applyFill="1" applyBorder="1" applyAlignment="1" applyProtection="1">
      <alignment horizontal="center" vertical="center"/>
    </xf>
    <xf numFmtId="0" fontId="16" fillId="33" borderId="70" xfId="0" applyFont="1" applyFill="1" applyBorder="1" applyAlignment="1" applyProtection="1">
      <alignment horizontal="center" vertical="center"/>
    </xf>
    <xf numFmtId="193" fontId="18" fillId="33" borderId="70" xfId="0" applyNumberFormat="1" applyFont="1" applyFill="1" applyBorder="1" applyAlignment="1" applyProtection="1">
      <alignment horizontal="center" vertical="center"/>
    </xf>
    <xf numFmtId="0" fontId="18" fillId="33" borderId="70" xfId="0" applyFont="1" applyFill="1" applyBorder="1" applyAlignment="1" applyProtection="1">
      <alignment horizontal="center" vertical="center"/>
    </xf>
    <xf numFmtId="0" fontId="47" fillId="0" borderId="0" xfId="0" applyFont="1" applyBorder="1" applyAlignment="1" applyProtection="1">
      <alignment horizontal="center"/>
    </xf>
    <xf numFmtId="0" fontId="52" fillId="29" borderId="36" xfId="0" applyFont="1" applyFill="1" applyBorder="1" applyAlignment="1" applyProtection="1">
      <alignment horizontal="center" vertical="center"/>
    </xf>
    <xf numFmtId="0" fontId="52" fillId="29" borderId="38" xfId="0" applyFont="1" applyFill="1" applyBorder="1" applyAlignment="1" applyProtection="1">
      <alignment horizontal="center" vertical="center"/>
    </xf>
    <xf numFmtId="0" fontId="52" fillId="29" borderId="39" xfId="0" applyFont="1" applyFill="1" applyBorder="1" applyAlignment="1" applyProtection="1">
      <alignment horizontal="center" vertical="center"/>
    </xf>
    <xf numFmtId="0" fontId="52" fillId="29" borderId="20" xfId="0" applyFont="1" applyFill="1" applyBorder="1" applyAlignment="1" applyProtection="1">
      <alignment horizontal="center" vertical="center"/>
    </xf>
    <xf numFmtId="0" fontId="52" fillId="29" borderId="21" xfId="0" applyFont="1" applyFill="1" applyBorder="1" applyAlignment="1" applyProtection="1">
      <alignment horizontal="center" vertical="center"/>
    </xf>
    <xf numFmtId="0" fontId="52" fillId="29" borderId="17" xfId="0" applyFont="1" applyFill="1" applyBorder="1" applyAlignment="1" applyProtection="1">
      <alignment horizontal="center" vertical="center"/>
    </xf>
    <xf numFmtId="0" fontId="18" fillId="29" borderId="22" xfId="0" applyFont="1" applyFill="1" applyBorder="1" applyAlignment="1" applyProtection="1">
      <alignment horizontal="center" vertical="center"/>
    </xf>
    <xf numFmtId="1" fontId="47" fillId="29" borderId="70" xfId="0" applyNumberFormat="1" applyFont="1" applyFill="1" applyBorder="1" applyAlignment="1" applyProtection="1">
      <alignment horizontal="center" vertical="center"/>
    </xf>
    <xf numFmtId="193" fontId="18" fillId="33" borderId="22" xfId="0" applyNumberFormat="1" applyFont="1" applyFill="1" applyBorder="1" applyAlignment="1" applyProtection="1">
      <alignment horizontal="center" vertical="center"/>
    </xf>
    <xf numFmtId="0" fontId="18" fillId="33" borderId="22" xfId="0" applyFont="1" applyFill="1" applyBorder="1" applyAlignment="1" applyProtection="1">
      <alignment horizontal="center" vertical="center"/>
    </xf>
    <xf numFmtId="0" fontId="47" fillId="29" borderId="22" xfId="0" applyFont="1" applyFill="1" applyBorder="1" applyAlignment="1" applyProtection="1">
      <alignment horizontal="center" vertical="center" wrapText="1"/>
    </xf>
    <xf numFmtId="0" fontId="47" fillId="29" borderId="22" xfId="0" applyFont="1" applyFill="1" applyBorder="1" applyAlignment="1" applyProtection="1">
      <alignment horizontal="center" vertical="center"/>
    </xf>
    <xf numFmtId="0" fontId="20" fillId="29" borderId="2" xfId="0" applyFont="1" applyFill="1" applyBorder="1" applyAlignment="1" applyProtection="1">
      <alignment horizontal="center" vertical="center"/>
    </xf>
    <xf numFmtId="0" fontId="20" fillId="29" borderId="47" xfId="0" applyFont="1" applyFill="1" applyBorder="1" applyAlignment="1" applyProtection="1">
      <alignment horizontal="center" vertical="center"/>
    </xf>
    <xf numFmtId="0" fontId="58" fillId="29" borderId="59" xfId="349" applyFont="1" applyFill="1" applyBorder="1" applyAlignment="1" applyProtection="1">
      <alignment horizontal="center"/>
    </xf>
    <xf numFmtId="0" fontId="58" fillId="29" borderId="60" xfId="349" applyFont="1" applyFill="1" applyBorder="1" applyAlignment="1" applyProtection="1">
      <alignment horizontal="center"/>
    </xf>
    <xf numFmtId="0" fontId="52" fillId="31" borderId="23" xfId="2" applyFont="1" applyFill="1" applyBorder="1" applyAlignment="1" applyProtection="1">
      <alignment horizontal="center" vertical="center" wrapText="1"/>
      <protection hidden="1"/>
    </xf>
    <xf numFmtId="0" fontId="52" fillId="31" borderId="24" xfId="2" applyFont="1" applyFill="1" applyBorder="1" applyAlignment="1" applyProtection="1">
      <alignment horizontal="center" vertical="center" wrapText="1"/>
      <protection hidden="1"/>
    </xf>
    <xf numFmtId="0" fontId="52" fillId="31" borderId="38" xfId="2" applyFont="1" applyFill="1" applyBorder="1" applyAlignment="1" applyProtection="1">
      <alignment horizontal="center" vertical="center" wrapText="1"/>
      <protection hidden="1"/>
    </xf>
    <xf numFmtId="0" fontId="52" fillId="31" borderId="25" xfId="2" applyFont="1" applyFill="1" applyBorder="1" applyAlignment="1" applyProtection="1">
      <alignment horizontal="center" vertical="center" wrapText="1"/>
      <protection hidden="1"/>
    </xf>
    <xf numFmtId="0" fontId="17" fillId="31" borderId="18" xfId="2" applyFont="1" applyFill="1" applyBorder="1" applyAlignment="1" applyProtection="1">
      <alignment horizontal="center" vertical="center" wrapText="1"/>
      <protection hidden="1"/>
    </xf>
    <xf numFmtId="0" fontId="17" fillId="31" borderId="0" xfId="2" applyFont="1" applyFill="1" applyBorder="1" applyAlignment="1" applyProtection="1">
      <alignment horizontal="center" vertical="center" wrapText="1"/>
      <protection hidden="1"/>
    </xf>
    <xf numFmtId="0" fontId="17" fillId="31" borderId="19" xfId="2" applyFont="1" applyFill="1" applyBorder="1" applyAlignment="1" applyProtection="1">
      <alignment horizontal="center" vertical="center" wrapText="1"/>
      <protection hidden="1"/>
    </xf>
    <xf numFmtId="0" fontId="47" fillId="31" borderId="18" xfId="2" applyFont="1" applyFill="1" applyBorder="1" applyAlignment="1" applyProtection="1">
      <alignment horizontal="center" vertical="center" wrapText="1"/>
      <protection hidden="1"/>
    </xf>
    <xf numFmtId="0" fontId="47" fillId="31" borderId="0" xfId="2" applyFont="1" applyFill="1" applyBorder="1" applyAlignment="1" applyProtection="1">
      <alignment horizontal="center" vertical="center" wrapText="1"/>
      <protection hidden="1"/>
    </xf>
    <xf numFmtId="0" fontId="47" fillId="31" borderId="19" xfId="2" applyFont="1" applyFill="1" applyBorder="1" applyAlignment="1" applyProtection="1">
      <alignment horizontal="center" vertical="center" wrapText="1"/>
      <protection hidden="1"/>
    </xf>
    <xf numFmtId="0" fontId="20" fillId="31" borderId="20" xfId="2" applyFont="1" applyFill="1" applyBorder="1" applyAlignment="1" applyProtection="1">
      <alignment horizontal="center" vertical="center" wrapText="1"/>
    </xf>
    <xf numFmtId="0" fontId="20" fillId="31" borderId="21" xfId="2" applyFont="1" applyFill="1" applyBorder="1" applyAlignment="1" applyProtection="1">
      <alignment horizontal="center" vertical="center" wrapText="1"/>
    </xf>
    <xf numFmtId="0" fontId="20" fillId="31" borderId="17" xfId="2" applyFont="1" applyFill="1" applyBorder="1" applyAlignment="1" applyProtection="1">
      <alignment horizontal="center" vertical="center" wrapText="1"/>
    </xf>
    <xf numFmtId="0" fontId="58" fillId="29" borderId="67" xfId="349" applyFont="1" applyFill="1" applyBorder="1" applyAlignment="1" applyProtection="1">
      <alignment horizontal="center" vertical="center"/>
    </xf>
    <xf numFmtId="190" fontId="57" fillId="0" borderId="70" xfId="349" applyNumberFormat="1" applyFont="1" applyBorder="1" applyAlignment="1" applyProtection="1">
      <alignment horizontal="center" vertical="center"/>
      <protection hidden="1"/>
    </xf>
    <xf numFmtId="0" fontId="69" fillId="30" borderId="2" xfId="349" applyFont="1" applyFill="1" applyBorder="1" applyAlignment="1" applyProtection="1">
      <alignment horizontal="left" vertical="center" wrapText="1"/>
    </xf>
    <xf numFmtId="0" fontId="69" fillId="30" borderId="26" xfId="349" applyFont="1" applyFill="1" applyBorder="1" applyAlignment="1" applyProtection="1">
      <alignment horizontal="left" vertical="center" wrapText="1"/>
    </xf>
    <xf numFmtId="0" fontId="69" fillId="30" borderId="29" xfId="349" applyFont="1" applyFill="1" applyBorder="1" applyAlignment="1" applyProtection="1">
      <alignment horizontal="left" vertical="center" wrapText="1"/>
    </xf>
    <xf numFmtId="0" fontId="60" fillId="37" borderId="2" xfId="349" applyFont="1" applyFill="1" applyBorder="1" applyAlignment="1" applyProtection="1">
      <alignment horizontal="justify" vertical="center" wrapText="1"/>
    </xf>
    <xf numFmtId="0" fontId="60" fillId="37" borderId="37" xfId="349" applyFont="1" applyFill="1" applyBorder="1" applyAlignment="1" applyProtection="1">
      <alignment horizontal="justify" vertical="center" wrapText="1"/>
    </xf>
    <xf numFmtId="0" fontId="59" fillId="33" borderId="64" xfId="349" applyFont="1" applyFill="1" applyBorder="1" applyAlignment="1" applyProtection="1">
      <alignment horizontal="center" vertical="center" wrapText="1"/>
    </xf>
    <xf numFmtId="0" fontId="59" fillId="33" borderId="65" xfId="349" applyFont="1" applyFill="1" applyBorder="1" applyAlignment="1" applyProtection="1">
      <alignment horizontal="center" vertical="center" wrapText="1"/>
    </xf>
    <xf numFmtId="0" fontId="59" fillId="29" borderId="2" xfId="349" applyFont="1" applyFill="1" applyBorder="1" applyAlignment="1" applyProtection="1">
      <alignment horizontal="center" vertical="center" wrapText="1"/>
    </xf>
    <xf numFmtId="0" fontId="59" fillId="29" borderId="37" xfId="349" applyFont="1" applyFill="1" applyBorder="1" applyAlignment="1" applyProtection="1">
      <alignment horizontal="center" vertical="center" wrapText="1"/>
    </xf>
    <xf numFmtId="0" fontId="58" fillId="29" borderId="2" xfId="349" applyFont="1" applyFill="1" applyBorder="1" applyAlignment="1" applyProtection="1">
      <alignment horizontal="center" vertical="center" wrapText="1"/>
    </xf>
    <xf numFmtId="0" fontId="58" fillId="29" borderId="47" xfId="349" applyFont="1" applyFill="1" applyBorder="1" applyAlignment="1" applyProtection="1">
      <alignment horizontal="center" vertical="center" wrapText="1"/>
    </xf>
    <xf numFmtId="0" fontId="59" fillId="29" borderId="26" xfId="349" applyFont="1" applyFill="1" applyBorder="1" applyAlignment="1" applyProtection="1">
      <alignment horizontal="center" vertical="center" wrapText="1"/>
    </xf>
    <xf numFmtId="0" fontId="59" fillId="29" borderId="29" xfId="349" applyFont="1" applyFill="1" applyBorder="1" applyAlignment="1" applyProtection="1">
      <alignment horizontal="center" vertical="center" wrapText="1"/>
    </xf>
    <xf numFmtId="0" fontId="58" fillId="29" borderId="67" xfId="349" applyFont="1" applyFill="1" applyBorder="1" applyAlignment="1" applyProtection="1">
      <alignment horizontal="center" vertical="center" wrapText="1"/>
    </xf>
    <xf numFmtId="0" fontId="59" fillId="30" borderId="67" xfId="349" applyFont="1" applyFill="1" applyBorder="1" applyAlignment="1" applyProtection="1">
      <alignment horizontal="left" vertical="center"/>
    </xf>
    <xf numFmtId="0" fontId="120" fillId="0" borderId="70" xfId="0" applyFont="1" applyBorder="1" applyAlignment="1">
      <alignment horizontal="center"/>
    </xf>
    <xf numFmtId="0" fontId="120" fillId="0" borderId="70" xfId="0" applyFont="1" applyBorder="1" applyAlignment="1">
      <alignment horizontal="center" vertical="center"/>
    </xf>
    <xf numFmtId="0" fontId="120" fillId="0" borderId="70" xfId="0" applyFont="1" applyBorder="1" applyAlignment="1">
      <alignment horizontal="center" vertical="center" wrapText="1"/>
    </xf>
  </cellXfs>
  <cellStyles count="439">
    <cellStyle name="%" xfId="146"/>
    <cellStyle name="%_ANEXO #7.ITEMS INSTALS. ELECTRICAS GECOLSA 2a.ETAPA." xfId="147"/>
    <cellStyle name="%_Plaza Mayor N 006 2077 DOC95_ANEXO 456" xfId="148"/>
    <cellStyle name="_Book2" xfId="149"/>
    <cellStyle name="20% - Accent1" xfId="150"/>
    <cellStyle name="20% - Accent2" xfId="151"/>
    <cellStyle name="20% - Accent3" xfId="152"/>
    <cellStyle name="20% - Accent4" xfId="153"/>
    <cellStyle name="20% - Accent5" xfId="154"/>
    <cellStyle name="20% - Accent6" xfId="155"/>
    <cellStyle name="20% - Énfasis1 2" xfId="156"/>
    <cellStyle name="20% - Énfasis1 3" xfId="157"/>
    <cellStyle name="20% - Énfasis1 4" xfId="158"/>
    <cellStyle name="20% - Énfasis2 2" xfId="159"/>
    <cellStyle name="20% - Énfasis2 3" xfId="160"/>
    <cellStyle name="20% - Énfasis2 4" xfId="161"/>
    <cellStyle name="20% - Énfasis3 2" xfId="162"/>
    <cellStyle name="20% - Énfasis3 3" xfId="163"/>
    <cellStyle name="20% - Énfasis3 4" xfId="164"/>
    <cellStyle name="20% - Énfasis4 2" xfId="165"/>
    <cellStyle name="20% - Énfasis4 3" xfId="166"/>
    <cellStyle name="20% - Énfasis4 4" xfId="167"/>
    <cellStyle name="20% - Énfasis5 2" xfId="168"/>
    <cellStyle name="20% - Énfasis5 3" xfId="169"/>
    <cellStyle name="20% - Énfasis6 2" xfId="170"/>
    <cellStyle name="20% - Énfasis6 3" xfId="171"/>
    <cellStyle name="20% - Énfasis6 4" xfId="172"/>
    <cellStyle name="40% - Accent1" xfId="173"/>
    <cellStyle name="40% - Accent2" xfId="174"/>
    <cellStyle name="40% - Accent3" xfId="175"/>
    <cellStyle name="40% - Accent4" xfId="176"/>
    <cellStyle name="40% - Accent5" xfId="177"/>
    <cellStyle name="40% - Accent6" xfId="178"/>
    <cellStyle name="40% - Énfasis1 2" xfId="179"/>
    <cellStyle name="40% - Énfasis1 3" xfId="180"/>
    <cellStyle name="40% - Énfasis1 4" xfId="181"/>
    <cellStyle name="40% - Énfasis2 2" xfId="182"/>
    <cellStyle name="40% - Énfasis2 3" xfId="183"/>
    <cellStyle name="40% - Énfasis3 2" xfId="184"/>
    <cellStyle name="40% - Énfasis3 3" xfId="185"/>
    <cellStyle name="40% - Énfasis3 4" xfId="186"/>
    <cellStyle name="40% - Énfasis4 2" xfId="187"/>
    <cellStyle name="40% - Énfasis4 3" xfId="188"/>
    <cellStyle name="40% - Énfasis4 4" xfId="189"/>
    <cellStyle name="40% - Énfasis5 2" xfId="190"/>
    <cellStyle name="40% - Énfasis5 3" xfId="191"/>
    <cellStyle name="40% - Énfasis5 4" xfId="192"/>
    <cellStyle name="40% - Énfasis6 2" xfId="193"/>
    <cellStyle name="40% - Énfasis6 3" xfId="194"/>
    <cellStyle name="40% - Énfasis6 4" xfId="195"/>
    <cellStyle name="60% - Accent1" xfId="196"/>
    <cellStyle name="60% - Accent2" xfId="197"/>
    <cellStyle name="60% - Accent3" xfId="198"/>
    <cellStyle name="60% - Accent4" xfId="199"/>
    <cellStyle name="60% - Accent5" xfId="200"/>
    <cellStyle name="60% - Accent6" xfId="201"/>
    <cellStyle name="60% - Énfasis1 2" xfId="202"/>
    <cellStyle name="60% - Énfasis1 3" xfId="203"/>
    <cellStyle name="60% - Énfasis1 4" xfId="204"/>
    <cellStyle name="60% - Énfasis2 2" xfId="205"/>
    <cellStyle name="60% - Énfasis2 3" xfId="206"/>
    <cellStyle name="60% - Énfasis2 4" xfId="207"/>
    <cellStyle name="60% - Énfasis3 2" xfId="208"/>
    <cellStyle name="60% - Énfasis3 3" xfId="209"/>
    <cellStyle name="60% - Énfasis3 4" xfId="210"/>
    <cellStyle name="60% - Énfasis4 2" xfId="211"/>
    <cellStyle name="60% - Énfasis4 3" xfId="212"/>
    <cellStyle name="60% - Énfasis4 4" xfId="213"/>
    <cellStyle name="60% - Énfasis5 2" xfId="214"/>
    <cellStyle name="60% - Énfasis5 3" xfId="215"/>
    <cellStyle name="60% - Énfasis5 4" xfId="216"/>
    <cellStyle name="60% - Énfasis6 2" xfId="217"/>
    <cellStyle name="60% - Énfasis6 3" xfId="218"/>
    <cellStyle name="60% - Énfasis6 4" xfId="219"/>
    <cellStyle name="Accent1" xfId="220"/>
    <cellStyle name="Accent2" xfId="221"/>
    <cellStyle name="Accent3" xfId="222"/>
    <cellStyle name="Accent4" xfId="223"/>
    <cellStyle name="Accent5" xfId="224"/>
    <cellStyle name="Accent6" xfId="225"/>
    <cellStyle name="ACTAS" xfId="226"/>
    <cellStyle name="Bad" xfId="227"/>
    <cellStyle name="Buena 2" xfId="228"/>
    <cellStyle name="Buena 3" xfId="229"/>
    <cellStyle name="Buena 4" xfId="230"/>
    <cellStyle name="Calculation" xfId="231"/>
    <cellStyle name="Calculation 2" xfId="395"/>
    <cellStyle name="Cálculo 2" xfId="232"/>
    <cellStyle name="Cálculo 2 2" xfId="396"/>
    <cellStyle name="Cálculo 3" xfId="233"/>
    <cellStyle name="Cálculo 3 2" xfId="397"/>
    <cellStyle name="Cálculo 4" xfId="234"/>
    <cellStyle name="Cálculo 4 2" xfId="398"/>
    <cellStyle name="Celda de comprobación 2" xfId="235"/>
    <cellStyle name="Celda de comprobación 3" xfId="236"/>
    <cellStyle name="Celda vinculada 2" xfId="237"/>
    <cellStyle name="Celda vinculada 3" xfId="238"/>
    <cellStyle name="Celda vinculada 4" xfId="239"/>
    <cellStyle name="Check Cell" xfId="240"/>
    <cellStyle name="Ecuación" xfId="241"/>
    <cellStyle name="Encabezado 4 2" xfId="242"/>
    <cellStyle name="Encabezado 4 3" xfId="243"/>
    <cellStyle name="Encabezado 4 4" xfId="244"/>
    <cellStyle name="Énfasis1 2" xfId="245"/>
    <cellStyle name="Énfasis1 3" xfId="246"/>
    <cellStyle name="Énfasis1 4" xfId="247"/>
    <cellStyle name="Énfasis2 2" xfId="248"/>
    <cellStyle name="Énfasis2 3" xfId="249"/>
    <cellStyle name="Énfasis2 4" xfId="250"/>
    <cellStyle name="Énfasis3 2" xfId="251"/>
    <cellStyle name="Énfasis3 3" xfId="252"/>
    <cellStyle name="Énfasis3 4" xfId="253"/>
    <cellStyle name="Énfasis4 2" xfId="254"/>
    <cellStyle name="Énfasis4 3" xfId="255"/>
    <cellStyle name="Énfasis4 4" xfId="256"/>
    <cellStyle name="Énfasis5 2" xfId="257"/>
    <cellStyle name="Énfasis5 3" xfId="258"/>
    <cellStyle name="Énfasis6 2" xfId="259"/>
    <cellStyle name="Énfasis6 3" xfId="260"/>
    <cellStyle name="Énfasis6 4" xfId="261"/>
    <cellStyle name="Entrada 2" xfId="262"/>
    <cellStyle name="Entrada 2 2" xfId="399"/>
    <cellStyle name="Entrada 3" xfId="263"/>
    <cellStyle name="Entrada 3 2" xfId="400"/>
    <cellStyle name="Entrada 4" xfId="264"/>
    <cellStyle name="Entrada 4 2" xfId="401"/>
    <cellStyle name="Estilo 1" xfId="265"/>
    <cellStyle name="Estilo 1 2" xfId="402"/>
    <cellStyle name="Euro" xfId="4"/>
    <cellStyle name="Explanatory Text" xfId="266"/>
    <cellStyle name="FIGURA" xfId="267"/>
    <cellStyle name="Good" xfId="268"/>
    <cellStyle name="Heading 1" xfId="269"/>
    <cellStyle name="Heading 2" xfId="270"/>
    <cellStyle name="Heading 3" xfId="271"/>
    <cellStyle name="Heading 4" xfId="272"/>
    <cellStyle name="Hipervínculo" xfId="437" builtinId="8"/>
    <cellStyle name="Hipervínculo 2" xfId="5"/>
    <cellStyle name="Hipervínculo 3" xfId="6"/>
    <cellStyle name="Hipervínculo 4" xfId="359"/>
    <cellStyle name="Incorrecto 2" xfId="273"/>
    <cellStyle name="Incorrecto 3" xfId="274"/>
    <cellStyle name="Incorrecto 4" xfId="275"/>
    <cellStyle name="Input" xfId="276"/>
    <cellStyle name="Input 2" xfId="403"/>
    <cellStyle name="Linked Cell" xfId="277"/>
    <cellStyle name="Millares" xfId="1" builtinId="3"/>
    <cellStyle name="Millares [0]" xfId="426" builtinId="6"/>
    <cellStyle name="Millares 10" xfId="7"/>
    <cellStyle name="Millares 10 2" xfId="8"/>
    <cellStyle name="Millares 10 2 2" xfId="362"/>
    <cellStyle name="Millares 10 3" xfId="9"/>
    <cellStyle name="Millares 10 3 2" xfId="363"/>
    <cellStyle name="Millares 10 4" xfId="361"/>
    <cellStyle name="Millares 11" xfId="10"/>
    <cellStyle name="Millares 11 2" xfId="11"/>
    <cellStyle name="Millares 11 2 2" xfId="365"/>
    <cellStyle name="Millares 11 3" xfId="12"/>
    <cellStyle name="Millares 11 3 2" xfId="366"/>
    <cellStyle name="Millares 11 4" xfId="364"/>
    <cellStyle name="Millares 12" xfId="13"/>
    <cellStyle name="Millares 12 2" xfId="14"/>
    <cellStyle name="Millares 13" xfId="354"/>
    <cellStyle name="Millares 13 2" xfId="423"/>
    <cellStyle name="Millares 2" xfId="15"/>
    <cellStyle name="Millares 2 10" xfId="16"/>
    <cellStyle name="Millares 2 10 2" xfId="17"/>
    <cellStyle name="Millares 2 10 3" xfId="18"/>
    <cellStyle name="Millares 2 11" xfId="19"/>
    <cellStyle name="Millares 2 11 2" xfId="20"/>
    <cellStyle name="Millares 2 11 2 2" xfId="369"/>
    <cellStyle name="Millares 2 11 3" xfId="368"/>
    <cellStyle name="Millares 2 12" xfId="21"/>
    <cellStyle name="Millares 2 12 2" xfId="22"/>
    <cellStyle name="Millares 2 12 2 2" xfId="371"/>
    <cellStyle name="Millares 2 12 3" xfId="370"/>
    <cellStyle name="Millares 2 13" xfId="23"/>
    <cellStyle name="Millares 2 13 2" xfId="24"/>
    <cellStyle name="Millares 2 13 2 2" xfId="373"/>
    <cellStyle name="Millares 2 13 3" xfId="372"/>
    <cellStyle name="Millares 2 14" xfId="25"/>
    <cellStyle name="Millares 2 14 2" xfId="26"/>
    <cellStyle name="Millares 2 14 2 2" xfId="375"/>
    <cellStyle name="Millares 2 14 3" xfId="374"/>
    <cellStyle name="Millares 2 15" xfId="27"/>
    <cellStyle name="Millares 2 15 2" xfId="28"/>
    <cellStyle name="Millares 2 15 2 2" xfId="377"/>
    <cellStyle name="Millares 2 15 3" xfId="376"/>
    <cellStyle name="Millares 2 16" xfId="367"/>
    <cellStyle name="Millares 2 2" xfId="29"/>
    <cellStyle name="Millares 2 2 2" xfId="30"/>
    <cellStyle name="Millares 2 2 2 2" xfId="31"/>
    <cellStyle name="Millares 2 2 2 3" xfId="32"/>
    <cellStyle name="Millares 2 2 2 4" xfId="378"/>
    <cellStyle name="Millares 2 2 3" xfId="33"/>
    <cellStyle name="Millares 2 2 3 2" xfId="379"/>
    <cellStyle name="Millares 2 2 4" xfId="278"/>
    <cellStyle name="Millares 2 2 5" xfId="279"/>
    <cellStyle name="Millares 2 3" xfId="34"/>
    <cellStyle name="Millares 2 3 2" xfId="35"/>
    <cellStyle name="Millares 2 3 2 2" xfId="36"/>
    <cellStyle name="Millares 2 3 2 3" xfId="37"/>
    <cellStyle name="Millares 2 3 3" xfId="38"/>
    <cellStyle name="Millares 2 3 4" xfId="39"/>
    <cellStyle name="Millares 2 4" xfId="40"/>
    <cellStyle name="Millares 2 4 2" xfId="41"/>
    <cellStyle name="Millares 2 4 3" xfId="42"/>
    <cellStyle name="Millares 2 5" xfId="43"/>
    <cellStyle name="Millares 2 5 2" xfId="44"/>
    <cellStyle name="Millares 2 5 3" xfId="45"/>
    <cellStyle name="Millares 2 6" xfId="46"/>
    <cellStyle name="Millares 2 6 2" xfId="47"/>
    <cellStyle name="Millares 2 6 2 2" xfId="381"/>
    <cellStyle name="Millares 2 6 3" xfId="48"/>
    <cellStyle name="Millares 2 6 3 2" xfId="382"/>
    <cellStyle name="Millares 2 6 4" xfId="380"/>
    <cellStyle name="Millares 2 7" xfId="49"/>
    <cellStyle name="Millares 2 8" xfId="50"/>
    <cellStyle name="Millares 2 9" xfId="51"/>
    <cellStyle name="Millares 2 9 2" xfId="52"/>
    <cellStyle name="Millares 2 9 3" xfId="53"/>
    <cellStyle name="Millares 2 9 3 2" xfId="384"/>
    <cellStyle name="Millares 2 9 4" xfId="383"/>
    <cellStyle name="Millares 3" xfId="54"/>
    <cellStyle name="Millares 3 2" xfId="55"/>
    <cellStyle name="Millares 3 2 2" xfId="56"/>
    <cellStyle name="Millares 3 2 2 2" xfId="57"/>
    <cellStyle name="Millares 3 2 2 3" xfId="58"/>
    <cellStyle name="Millares 3 2 3" xfId="59"/>
    <cellStyle name="Millares 3 2 4" xfId="60"/>
    <cellStyle name="Millares 3 3" xfId="61"/>
    <cellStyle name="Millares 3 3 2" xfId="62"/>
    <cellStyle name="Millares 3 3 2 2" xfId="63"/>
    <cellStyle name="Millares 3 3 2 3" xfId="64"/>
    <cellStyle name="Millares 3 3 3" xfId="65"/>
    <cellStyle name="Millares 3 3 4" xfId="66"/>
    <cellStyle name="Millares 3 4" xfId="67"/>
    <cellStyle name="Millares 3 5" xfId="68"/>
    <cellStyle name="Millares 4" xfId="69"/>
    <cellStyle name="Millares 4 2" xfId="70"/>
    <cellStyle name="Millares 4 2 2" xfId="386"/>
    <cellStyle name="Millares 4 3" xfId="71"/>
    <cellStyle name="Millares 4 3 2" xfId="387"/>
    <cellStyle name="Millares 4 4" xfId="385"/>
    <cellStyle name="Millares 5" xfId="72"/>
    <cellStyle name="Millares 5 2" xfId="73"/>
    <cellStyle name="Millares 5 3" xfId="74"/>
    <cellStyle name="Millares 6" xfId="75"/>
    <cellStyle name="Millares 6 2" xfId="76"/>
    <cellStyle name="Millares 6 2 2" xfId="389"/>
    <cellStyle name="Millares 6 3" xfId="77"/>
    <cellStyle name="Millares 6 3 2" xfId="390"/>
    <cellStyle name="Millares 6 4" xfId="388"/>
    <cellStyle name="Millares 7" xfId="78"/>
    <cellStyle name="Millares 7 2" xfId="79"/>
    <cellStyle name="Millares 7 3" xfId="80"/>
    <cellStyle name="Millares 8" xfId="81"/>
    <cellStyle name="Millares 8 2" xfId="82"/>
    <cellStyle name="Millares 8 2 2" xfId="83"/>
    <cellStyle name="Millares 8 3" xfId="84"/>
    <cellStyle name="Millares 8 4" xfId="85"/>
    <cellStyle name="Millares 9" xfId="86"/>
    <cellStyle name="Millares 9 2" xfId="87"/>
    <cellStyle name="Millares 9 2 2" xfId="392"/>
    <cellStyle name="Millares 9 3" xfId="88"/>
    <cellStyle name="Millares 9 3 2" xfId="393"/>
    <cellStyle name="Millares 9 4" xfId="391"/>
    <cellStyle name="Millares_Formato Evaluacion LP No. 41 Biblioteca Belen" xfId="3"/>
    <cellStyle name="Moneda" xfId="435" builtinId="4"/>
    <cellStyle name="Moneda [0]" xfId="432" builtinId="7"/>
    <cellStyle name="Moneda [0] 10" xfId="280"/>
    <cellStyle name="Moneda [0] 11" xfId="281"/>
    <cellStyle name="Moneda [0] 14" xfId="282"/>
    <cellStyle name="Moneda [0] 2" xfId="283"/>
    <cellStyle name="Moneda [0] 3" xfId="284"/>
    <cellStyle name="Moneda [0] 6" xfId="431"/>
    <cellStyle name="Moneda 11" xfId="428"/>
    <cellStyle name="Moneda 2" xfId="89"/>
    <cellStyle name="Moneda 2 2" xfId="90"/>
    <cellStyle name="Moneda 2 2 2" xfId="285"/>
    <cellStyle name="Moneda 2 3" xfId="91"/>
    <cellStyle name="Moneda 2 4" xfId="92"/>
    <cellStyle name="Moneda 2_Tableros" xfId="286"/>
    <cellStyle name="Moneda 3" xfId="93"/>
    <cellStyle name="Moneda 3 2" xfId="94"/>
    <cellStyle name="Moneda 3 3" xfId="95"/>
    <cellStyle name="Moneda 3 4" xfId="340"/>
    <cellStyle name="Moneda 4" xfId="96"/>
    <cellStyle name="Moneda 4 2" xfId="97"/>
    <cellStyle name="Moneda 4 3" xfId="98"/>
    <cellStyle name="Moneda 5" xfId="99"/>
    <cellStyle name="Moneda 5 2" xfId="394"/>
    <cellStyle name="Moneda 6" xfId="100"/>
    <cellStyle name="Moneda 6 2" xfId="101"/>
    <cellStyle name="Moneda 6 3" xfId="102"/>
    <cellStyle name="Moneda 7" xfId="103"/>
    <cellStyle name="Moneda 9" xfId="433"/>
    <cellStyle name="Moneda 9 2" xfId="430"/>
    <cellStyle name="Moneda 9 2 2" xfId="434"/>
    <cellStyle name="Moneda0" xfId="287"/>
    <cellStyle name="Neutral 2" xfId="288"/>
    <cellStyle name="Neutral 3" xfId="289"/>
    <cellStyle name="Neutral 4" xfId="290"/>
    <cellStyle name="Normal" xfId="0" builtinId="0"/>
    <cellStyle name="Normal 10" xfId="104"/>
    <cellStyle name="Normal 10 10 2" xfId="356"/>
    <cellStyle name="Normal 11" xfId="291"/>
    <cellStyle name="Normal 12" xfId="344"/>
    <cellStyle name="Normal 12 2" xfId="350"/>
    <cellStyle name="Normal 12 2 2" xfId="353"/>
    <cellStyle name="Normal 12 2 2 2" xfId="422"/>
    <cellStyle name="Normal 12 2 3" xfId="419"/>
    <cellStyle name="Normal 12 3" xfId="352"/>
    <cellStyle name="Normal 12 3 2" xfId="421"/>
    <cellStyle name="Normal 12 4" xfId="415"/>
    <cellStyle name="Normal 13" xfId="345"/>
    <cellStyle name="Normal 14" xfId="346"/>
    <cellStyle name="Normal 14 2" xfId="349"/>
    <cellStyle name="Normal 14 2 2" xfId="418"/>
    <cellStyle name="Normal 14 2 3" xfId="425"/>
    <cellStyle name="Normal 14 3" xfId="416"/>
    <cellStyle name="Normal 15" xfId="351"/>
    <cellStyle name="Normal 15 2" xfId="358"/>
    <cellStyle name="Normal 15 2 2" xfId="424"/>
    <cellStyle name="Normal 15 3" xfId="420"/>
    <cellStyle name="Normal 18" xfId="427"/>
    <cellStyle name="Normal 2" xfId="105"/>
    <cellStyle name="Normal 2 2" xfId="106"/>
    <cellStyle name="Normal 2 2 2" xfId="107"/>
    <cellStyle name="Normal 2 2 2 2" xfId="108"/>
    <cellStyle name="Normal 2 2 2 2 2" xfId="109"/>
    <cellStyle name="Normal 2 2 2 2 3" xfId="110"/>
    <cellStyle name="Normal 2 2 2 2 4" xfId="111"/>
    <cellStyle name="Normal 2 2 2 3" xfId="112"/>
    <cellStyle name="Normal 2 2 2 4" xfId="113"/>
    <cellStyle name="Normal 2 2 3" xfId="114"/>
    <cellStyle name="Normal 2 2 3 2" xfId="115"/>
    <cellStyle name="Normal 2 2 3 3" xfId="116"/>
    <cellStyle name="Normal 2 2 4" xfId="117"/>
    <cellStyle name="Normal 2 2 5" xfId="118"/>
    <cellStyle name="Normal 2 3" xfId="119"/>
    <cellStyle name="Normal 2 3 2" xfId="120"/>
    <cellStyle name="Normal 2 3 2 2" xfId="348"/>
    <cellStyle name="Normal 2 3 3" xfId="121"/>
    <cellStyle name="Normal 2 4" xfId="122"/>
    <cellStyle name="Normal 2 4 2" xfId="123"/>
    <cellStyle name="Normal 2 4 3" xfId="124"/>
    <cellStyle name="Normal 2 5" xfId="125"/>
    <cellStyle name="Normal 2 6" xfId="126"/>
    <cellStyle name="Normal 2 7" xfId="127"/>
    <cellStyle name="Normal 2_PTO-02060-PARQUE BIBLIOTECA SAN CRISTOBAL" xfId="292"/>
    <cellStyle name="Normal 21" xfId="341"/>
    <cellStyle name="Normal 3" xfId="128"/>
    <cellStyle name="Normal 3 2" xfId="129"/>
    <cellStyle name="Normal 3 2 2" xfId="130"/>
    <cellStyle name="Normal 3 2 2 14" xfId="131"/>
    <cellStyle name="Normal 3 2 3" xfId="132"/>
    <cellStyle name="Normal 3 3" xfId="133"/>
    <cellStyle name="Normal 3 4" xfId="134"/>
    <cellStyle name="Normal 4" xfId="135"/>
    <cellStyle name="Normal 4 2" xfId="136"/>
    <cellStyle name="Normal 4 3" xfId="137"/>
    <cellStyle name="Normal 5" xfId="138"/>
    <cellStyle name="Normal 5 2" xfId="293"/>
    <cellStyle name="Normal 5 3" xfId="294"/>
    <cellStyle name="Normal 5 4" xfId="295"/>
    <cellStyle name="Normal 6" xfId="139"/>
    <cellStyle name="Normal 68" xfId="347"/>
    <cellStyle name="Normal 68 2" xfId="417"/>
    <cellStyle name="Normal 7" xfId="296"/>
    <cellStyle name="Normal 78" xfId="342"/>
    <cellStyle name="Normal 8" xfId="297"/>
    <cellStyle name="Normal 9" xfId="298"/>
    <cellStyle name="Normal_CONSOLIDADO  EVALUACIÓN LP 53 OBRA ADECUACIÓN Y MANTENIMIENTO DEL TEATRO LIDO" xfId="2"/>
    <cellStyle name="Normal_FORM20_1 2" xfId="436"/>
    <cellStyle name="Normal_SEGUROS FENIX 2" xfId="438"/>
    <cellStyle name="Notas 2" xfId="299"/>
    <cellStyle name="Notas 2 2" xfId="404"/>
    <cellStyle name="Notas 3" xfId="300"/>
    <cellStyle name="Notas 3 2" xfId="405"/>
    <cellStyle name="Notas 4" xfId="301"/>
    <cellStyle name="Notas 4 2" xfId="406"/>
    <cellStyle name="Note" xfId="302"/>
    <cellStyle name="Note 2" xfId="407"/>
    <cellStyle name="Output" xfId="303"/>
    <cellStyle name="Output 2" xfId="408"/>
    <cellStyle name="Porcentaje" xfId="357" builtinId="5"/>
    <cellStyle name="Porcentaje 2" xfId="343"/>
    <cellStyle name="Porcentaje 6" xfId="429"/>
    <cellStyle name="Porcentual 2" xfId="140"/>
    <cellStyle name="Porcentual 2 2" xfId="141"/>
    <cellStyle name="Porcentual 2 2 2" xfId="142"/>
    <cellStyle name="Porcentual 2 2 2 2" xfId="143"/>
    <cellStyle name="Porcentual 2 2 2 3" xfId="360"/>
    <cellStyle name="Porcentual 2 2 3" xfId="144"/>
    <cellStyle name="Porcentual 2 2 4" xfId="355"/>
    <cellStyle name="Porcentual 2 3" xfId="304"/>
    <cellStyle name="Porcentual 2 4" xfId="305"/>
    <cellStyle name="Porcentual 2 5" xfId="306"/>
    <cellStyle name="Porcentual 3" xfId="145"/>
    <cellStyle name="Porcentual 4" xfId="307"/>
    <cellStyle name="Porcentual 5" xfId="308"/>
    <cellStyle name="Porcentual 6" xfId="309"/>
    <cellStyle name="Punto0" xfId="310"/>
    <cellStyle name="Salida 2" xfId="311"/>
    <cellStyle name="Salida 2 2" xfId="409"/>
    <cellStyle name="Salida 3" xfId="312"/>
    <cellStyle name="Salida 3 2" xfId="410"/>
    <cellStyle name="Salida 4" xfId="313"/>
    <cellStyle name="Salida 4 2" xfId="411"/>
    <cellStyle name="Texto de advertencia 2" xfId="314"/>
    <cellStyle name="Texto de advertencia 3" xfId="315"/>
    <cellStyle name="Texto explicativo 2" xfId="316"/>
    <cellStyle name="Texto explicativo 3" xfId="317"/>
    <cellStyle name="Tit. tabla" xfId="318"/>
    <cellStyle name="Title" xfId="319"/>
    <cellStyle name="TITULO 1" xfId="320"/>
    <cellStyle name="Título 1 2" xfId="321"/>
    <cellStyle name="Título 1 3" xfId="322"/>
    <cellStyle name="Título 1 4" xfId="323"/>
    <cellStyle name="TITULO 2" xfId="324"/>
    <cellStyle name="Título 2 2" xfId="325"/>
    <cellStyle name="Título 2 3" xfId="326"/>
    <cellStyle name="Título 2 4" xfId="327"/>
    <cellStyle name="TITULO 3" xfId="328"/>
    <cellStyle name="Título 3 2" xfId="329"/>
    <cellStyle name="Título 3 3" xfId="330"/>
    <cellStyle name="Título 3 4" xfId="331"/>
    <cellStyle name="Título 4" xfId="332"/>
    <cellStyle name="Título 5" xfId="333"/>
    <cellStyle name="Título 6" xfId="334"/>
    <cellStyle name="Total 2" xfId="335"/>
    <cellStyle name="Total 2 2" xfId="412"/>
    <cellStyle name="Total 3" xfId="336"/>
    <cellStyle name="Total 3 2" xfId="413"/>
    <cellStyle name="Total 4" xfId="337"/>
    <cellStyle name="Total 4 2" xfId="414"/>
    <cellStyle name="Viñeta" xfId="338"/>
    <cellStyle name="Warning Text" xfId="339"/>
  </cellStyles>
  <dxfs count="43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FF6600"/>
      <color rgb="FF9BCBA0"/>
      <color rgb="FF66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66675</xdr:rowOff>
    </xdr:from>
    <xdr:to>
      <xdr:col>1</xdr:col>
      <xdr:colOff>524879</xdr:colOff>
      <xdr:row>1</xdr:row>
      <xdr:rowOff>495300</xdr:rowOff>
    </xdr:to>
    <xdr:pic>
      <xdr:nvPicPr>
        <xdr:cNvPr id="2" name="3 Imagen" descr="log-udea2.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6675"/>
          <a:ext cx="7344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52916</xdr:colOff>
      <xdr:row>0</xdr:row>
      <xdr:rowOff>57150</xdr:rowOff>
    </xdr:from>
    <xdr:to>
      <xdr:col>1</xdr:col>
      <xdr:colOff>541479</xdr:colOff>
      <xdr:row>2</xdr:row>
      <xdr:rowOff>57150</xdr:rowOff>
    </xdr:to>
    <xdr:pic>
      <xdr:nvPicPr>
        <xdr:cNvPr id="2" name="3 Imagen" descr="log-udea2.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6" y="57150"/>
          <a:ext cx="717163"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107749</xdr:colOff>
      <xdr:row>0</xdr:row>
      <xdr:rowOff>31654</xdr:rowOff>
    </xdr:from>
    <xdr:ext cx="578051" cy="713085"/>
    <xdr:pic>
      <xdr:nvPicPr>
        <xdr:cNvPr id="2" name="3 Imagen" descr="log-udea2.GIF">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749" y="31654"/>
          <a:ext cx="578051" cy="713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Juan%20Arrubla\APU%20Secundaria%20Corvi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1.LOP\AppData\Local\Temp\Evaluaci&#243;n%20t&#233;cnica%20cabin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3I2"/>
      <sheetName val="MPC3I3"/>
      <sheetName val="MPC3I4"/>
      <sheetName val="MPC3I5"/>
      <sheetName val="MPC3I1"/>
      <sheetName val="Hoja1"/>
      <sheetName val="Hoja2"/>
      <sheetName val="Hoja3"/>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TIPO 1"/>
      <sheetName val="CE-TIPO 2"/>
      <sheetName val="CE-TIPO 3"/>
      <sheetName val="CE-TIPO 4"/>
      <sheetName val="CE-TIPO 5"/>
      <sheetName val="CFL"/>
      <sheetName val="PCR"/>
      <sheetName val="RESUMEN_HABILITACIÓN"/>
    </sheetNames>
    <sheetDataSet>
      <sheetData sheetId="0">
        <row r="30">
          <cell r="C30" t="str">
            <v>VALORACIÓN</v>
          </cell>
          <cell r="D30" t="str">
            <v>CTL COMPANY</v>
          </cell>
          <cell r="F30" t="str">
            <v>VALORACIÓN</v>
          </cell>
          <cell r="G30" t="str">
            <v>AVANTIKA COLOMBIA S.A.S</v>
          </cell>
        </row>
        <row r="31">
          <cell r="C31" t="str">
            <v>HABILITACIÓN TÉCNICA</v>
          </cell>
          <cell r="D31" t="str">
            <v>CUMPLE</v>
          </cell>
          <cell r="F31" t="str">
            <v>HABILITACIÓN TÉCNICA</v>
          </cell>
          <cell r="G31" t="str">
            <v>NO CUMPLE</v>
          </cell>
        </row>
      </sheetData>
      <sheetData sheetId="1">
        <row r="30">
          <cell r="C30" t="str">
            <v>VALORACIÓN</v>
          </cell>
          <cell r="D30" t="str">
            <v>CTL COMPANY</v>
          </cell>
          <cell r="F30" t="str">
            <v>VALORACIÓN</v>
          </cell>
          <cell r="G30" t="str">
            <v>AVANTIKA COLOMBIA S.A.S</v>
          </cell>
        </row>
        <row r="31">
          <cell r="C31" t="str">
            <v>HABILITACIÓN TÉCNICA</v>
          </cell>
          <cell r="D31" t="str">
            <v>CUMPLE</v>
          </cell>
          <cell r="F31" t="str">
            <v>HABILITACIÓN TÉCNICA</v>
          </cell>
          <cell r="G31" t="str">
            <v>NO CUMPLE</v>
          </cell>
        </row>
      </sheetData>
      <sheetData sheetId="2">
        <row r="30">
          <cell r="C30" t="str">
            <v>VALORACIÓN</v>
          </cell>
          <cell r="D30" t="str">
            <v>CTL COMPANY</v>
          </cell>
          <cell r="F30" t="str">
            <v>VALORACIÓN</v>
          </cell>
          <cell r="G30" t="str">
            <v>AVANTIKA COLOMBIA S.A.S</v>
          </cell>
        </row>
        <row r="31">
          <cell r="C31" t="str">
            <v>HABILITACIÓN TÉCNICA</v>
          </cell>
          <cell r="D31" t="str">
            <v>CUMPLE</v>
          </cell>
          <cell r="F31" t="str">
            <v>HABILITACIÓN TÉCNICA</v>
          </cell>
          <cell r="G31" t="str">
            <v>NO CUMPLE</v>
          </cell>
        </row>
      </sheetData>
      <sheetData sheetId="3">
        <row r="30">
          <cell r="C30" t="str">
            <v>VALORACIÓN</v>
          </cell>
          <cell r="D30" t="str">
            <v>CTL COMPANY</v>
          </cell>
          <cell r="F30" t="str">
            <v>VALORACIÓN</v>
          </cell>
          <cell r="G30" t="str">
            <v>AVANTIKA COLOMBIA S.A.S</v>
          </cell>
        </row>
        <row r="31">
          <cell r="C31" t="str">
            <v>HABILITACIÓN TÉCNICA</v>
          </cell>
          <cell r="D31" t="str">
            <v>CUMPLE</v>
          </cell>
          <cell r="F31" t="str">
            <v>HABILITACIÓN TÉCNICA</v>
          </cell>
          <cell r="G31" t="str">
            <v>NO CUMPLE</v>
          </cell>
        </row>
      </sheetData>
      <sheetData sheetId="4">
        <row r="30">
          <cell r="C30" t="str">
            <v>VALORACIÓN</v>
          </cell>
          <cell r="D30" t="str">
            <v>CTL COMPANY</v>
          </cell>
          <cell r="F30" t="str">
            <v>VALORACIÓN</v>
          </cell>
          <cell r="G30" t="str">
            <v>AVANTIKA COLOMBIA S.A.S</v>
          </cell>
        </row>
        <row r="31">
          <cell r="C31" t="str">
            <v>HABILITACIÓN TÉCNICA</v>
          </cell>
          <cell r="D31" t="str">
            <v>CUMPLE</v>
          </cell>
          <cell r="F31" t="str">
            <v>HABILITACIÓN TÉCNICA</v>
          </cell>
          <cell r="G31" t="str">
            <v>NO CUMPLE</v>
          </cell>
        </row>
      </sheetData>
      <sheetData sheetId="5">
        <row r="31">
          <cell r="C31" t="str">
            <v>VALORACIÓN</v>
          </cell>
          <cell r="D31" t="str">
            <v>CTL COMPANY</v>
          </cell>
          <cell r="F31" t="str">
            <v>VALORACIÓN</v>
          </cell>
          <cell r="G31" t="str">
            <v>AVANTIKA COLOMBIA S.A.S</v>
          </cell>
        </row>
        <row r="32">
          <cell r="C32" t="str">
            <v>HABILITACIÓN TÉCNICA</v>
          </cell>
          <cell r="D32" t="str">
            <v>CUMPLE</v>
          </cell>
          <cell r="F32" t="str">
            <v>HABILITACIÓN TÉCNICA</v>
          </cell>
          <cell r="G32" t="str">
            <v>NO CUMPLE</v>
          </cell>
        </row>
      </sheetData>
      <sheetData sheetId="6">
        <row r="30">
          <cell r="C30" t="str">
            <v>VALORACIÓN</v>
          </cell>
          <cell r="D30" t="str">
            <v>CTL COMPANY</v>
          </cell>
          <cell r="F30" t="str">
            <v>VALORACIÓN</v>
          </cell>
          <cell r="G30" t="str">
            <v>AVANTIKA COLOMBIA S.A.S</v>
          </cell>
        </row>
        <row r="31">
          <cell r="C31" t="str">
            <v>HABILITACIÓN TÉCNICA</v>
          </cell>
          <cell r="D31" t="str">
            <v>CUMPLE</v>
          </cell>
          <cell r="F31" t="str">
            <v>HABILITACIÓN TÉCNICA</v>
          </cell>
          <cell r="G31" t="str">
            <v>NO CUMPLE</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AI14"/>
  <sheetViews>
    <sheetView showGridLines="0" zoomScaleNormal="100" zoomScaleSheetLayoutView="90" zoomScalePageLayoutView="90" workbookViewId="0">
      <selection sqref="A1:B14"/>
    </sheetView>
  </sheetViews>
  <sheetFormatPr baseColWidth="10" defaultColWidth="11.42578125" defaultRowHeight="12.75"/>
  <cols>
    <col min="1" max="1" width="5.85546875" style="8" bestFit="1" customWidth="1"/>
    <col min="2" max="2" width="80" style="8" bestFit="1" customWidth="1"/>
    <col min="3" max="16384" width="11.42578125" style="8"/>
  </cols>
  <sheetData>
    <row r="1" spans="1:35" ht="37.5" customHeight="1">
      <c r="A1" s="443" t="s">
        <v>4</v>
      </c>
      <c r="B1" s="444"/>
    </row>
    <row r="2" spans="1:35" ht="51" customHeight="1">
      <c r="A2" s="450" t="s">
        <v>165</v>
      </c>
      <c r="B2" s="451"/>
    </row>
    <row r="3" spans="1:35" ht="18">
      <c r="A3" s="450" t="s">
        <v>136</v>
      </c>
      <c r="B3" s="451"/>
    </row>
    <row r="4" spans="1:35" ht="118.5" customHeight="1">
      <c r="A4" s="448" t="s">
        <v>167</v>
      </c>
      <c r="B4" s="449"/>
    </row>
    <row r="5" spans="1:35" ht="27" customHeight="1">
      <c r="A5" s="446" t="s">
        <v>23</v>
      </c>
      <c r="B5" s="447"/>
    </row>
    <row r="6" spans="1:35" ht="15.75">
      <c r="A6" s="79"/>
      <c r="B6" s="79"/>
      <c r="AI6" s="8" t="s">
        <v>117</v>
      </c>
    </row>
    <row r="7" spans="1:35" ht="29.25" customHeight="1">
      <c r="A7" s="80" t="s">
        <v>25</v>
      </c>
      <c r="B7" s="81" t="s">
        <v>3</v>
      </c>
    </row>
    <row r="8" spans="1:35" ht="22.5" customHeight="1">
      <c r="A8" s="82">
        <v>1</v>
      </c>
      <c r="B8" s="83" t="s">
        <v>209</v>
      </c>
    </row>
    <row r="9" spans="1:35" ht="22.5" customHeight="1">
      <c r="A9" s="82">
        <v>2</v>
      </c>
      <c r="B9" s="83" t="s">
        <v>212</v>
      </c>
    </row>
    <row r="10" spans="1:35" ht="22.5" customHeight="1">
      <c r="A10" s="82">
        <v>3</v>
      </c>
      <c r="B10" s="83" t="s">
        <v>214</v>
      </c>
    </row>
    <row r="11" spans="1:35" ht="22.5" customHeight="1">
      <c r="A11" s="84"/>
      <c r="B11" s="85"/>
    </row>
    <row r="12" spans="1:35" ht="20.45" customHeight="1">
      <c r="A12" s="86"/>
      <c r="B12" s="85"/>
    </row>
    <row r="13" spans="1:35" ht="12.75" customHeight="1">
      <c r="A13" s="445" t="s">
        <v>53</v>
      </c>
      <c r="B13" s="445"/>
    </row>
    <row r="14" spans="1:35" ht="70.5" customHeight="1">
      <c r="A14" s="445" t="s">
        <v>239</v>
      </c>
      <c r="B14" s="445"/>
    </row>
  </sheetData>
  <sheetProtection algorithmName="SHA-512" hashValue="S9LoYHYKmZBrM/rfJQXF+WbwtwyDW2zLDacJe9bXdu3BgQ21K+chTb8HqtPuMm0VR8o97lxRMqctVC4hQWwSTw==" saltValue="6jAcQqrpoaNFZ798nxw/2g==" spinCount="100000" sheet="1" formatColumns="0" formatRows="0"/>
  <mergeCells count="7">
    <mergeCell ref="A1:B1"/>
    <mergeCell ref="A13:B13"/>
    <mergeCell ref="A14:B14"/>
    <mergeCell ref="A5:B5"/>
    <mergeCell ref="A4:B4"/>
    <mergeCell ref="A2:B2"/>
    <mergeCell ref="A3:B3"/>
  </mergeCells>
  <printOptions horizontalCentered="1"/>
  <pageMargins left="0.39370078740157483" right="0.39370078740157483" top="0.59055118110236227" bottom="0.39370078740157483" header="0.31496062992125984" footer="0.31496062992125984"/>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19"/>
  <sheetViews>
    <sheetView showGridLines="0" topLeftCell="A4" zoomScaleNormal="100" workbookViewId="0">
      <selection activeCell="L13" sqref="L13:M13"/>
    </sheetView>
  </sheetViews>
  <sheetFormatPr baseColWidth="10" defaultColWidth="11.42578125" defaultRowHeight="15"/>
  <cols>
    <col min="1" max="1" width="6.140625" style="31" customWidth="1"/>
    <col min="2" max="2" width="13.7109375" style="31" customWidth="1"/>
    <col min="3" max="3" width="14.7109375" style="31" customWidth="1"/>
    <col min="4" max="4" width="11.140625" style="31" customWidth="1"/>
    <col min="5" max="5" width="10" style="31" customWidth="1"/>
    <col min="6" max="6" width="21.5703125" style="31" customWidth="1"/>
    <col min="7" max="7" width="13.140625" style="31" customWidth="1"/>
    <col min="8" max="8" width="13" style="31" customWidth="1"/>
    <col min="9" max="9" width="11.140625" style="31" customWidth="1"/>
    <col min="10" max="10" width="13.5703125" style="31" customWidth="1"/>
    <col min="11" max="11" width="11.140625" style="31" customWidth="1"/>
    <col min="12" max="12" width="11.28515625" style="31" customWidth="1"/>
    <col min="13" max="13" width="14.140625" style="31" customWidth="1"/>
    <col min="14" max="14" width="20.85546875" style="31" customWidth="1"/>
    <col min="15" max="15" width="22.140625" style="31" customWidth="1"/>
    <col min="16" max="16" width="11.42578125" style="31" customWidth="1"/>
    <col min="17" max="17" width="13.7109375" style="41" hidden="1" customWidth="1"/>
    <col min="18" max="18" width="8.28515625" style="41" hidden="1" customWidth="1"/>
    <col min="19" max="19" width="13.7109375" style="31" customWidth="1"/>
    <col min="20" max="20" width="13.7109375" style="31" bestFit="1" customWidth="1"/>
    <col min="21" max="16384" width="11.42578125" style="31"/>
  </cols>
  <sheetData>
    <row r="1" spans="1:18" ht="31.5" customHeight="1">
      <c r="A1" s="680" t="str">
        <f>+'1_ENTREGA'!A1</f>
        <v>UNIVERSIDAD DE ANTIOQUIA</v>
      </c>
      <c r="B1" s="681"/>
      <c r="C1" s="681"/>
      <c r="D1" s="681"/>
      <c r="E1" s="681"/>
      <c r="F1" s="681"/>
      <c r="G1" s="681"/>
      <c r="H1" s="681"/>
      <c r="I1" s="681"/>
      <c r="J1" s="682"/>
      <c r="K1" s="681"/>
      <c r="L1" s="681"/>
      <c r="M1" s="681"/>
      <c r="N1" s="681"/>
      <c r="O1" s="683"/>
    </row>
    <row r="2" spans="1:18" ht="23.25" customHeight="1">
      <c r="A2" s="684" t="str">
        <f>+'1_ENTREGA'!A2</f>
        <v>Invitación Pública N° VA-130-2019</v>
      </c>
      <c r="B2" s="685"/>
      <c r="C2" s="685"/>
      <c r="D2" s="685"/>
      <c r="E2" s="685"/>
      <c r="F2" s="685"/>
      <c r="G2" s="685"/>
      <c r="H2" s="685"/>
      <c r="I2" s="685"/>
      <c r="J2" s="685"/>
      <c r="K2" s="685"/>
      <c r="L2" s="685"/>
      <c r="M2" s="685"/>
      <c r="N2" s="685"/>
      <c r="O2" s="686"/>
    </row>
    <row r="3" spans="1:18" ht="81.75" customHeight="1">
      <c r="A3" s="687" t="str">
        <f>+'1_ENTREGA'!A4</f>
        <v xml:space="preserve">“Compraventa, transporte, instalación y puesta en servicio de: once (11) cabinas de extracción, seis (6) cabinas de flujo laminar vertical, una (1) cabina PCR (cabina para la reacción en cadena de la polimerasa), bases, conexión de ventilador a control integrado a las cabinas de extracción, conexión de abasto de agua y desagüe al interior de los laboratorios, conexión de gases especiales, pruebas para calificación, y demás elementos necesarios para su correcto funcionamiento, en la Seccional Oriente de la Universidad de Antioquia, por precios unitarios fijos no reajustables, conforme conforme con los planos, cantidades y especificaciones técnicas.” </v>
      </c>
      <c r="B3" s="688"/>
      <c r="C3" s="688"/>
      <c r="D3" s="688"/>
      <c r="E3" s="688"/>
      <c r="F3" s="688"/>
      <c r="G3" s="688"/>
      <c r="H3" s="688"/>
      <c r="I3" s="688"/>
      <c r="J3" s="688"/>
      <c r="K3" s="688"/>
      <c r="L3" s="688"/>
      <c r="M3" s="688"/>
      <c r="N3" s="688"/>
      <c r="O3" s="689"/>
    </row>
    <row r="4" spans="1:18" ht="26.25" customHeight="1">
      <c r="A4" s="690" t="s">
        <v>175</v>
      </c>
      <c r="B4" s="691"/>
      <c r="C4" s="691"/>
      <c r="D4" s="691"/>
      <c r="E4" s="691"/>
      <c r="F4" s="691"/>
      <c r="G4" s="691"/>
      <c r="H4" s="691"/>
      <c r="I4" s="691"/>
      <c r="J4" s="691"/>
      <c r="K4" s="691"/>
      <c r="L4" s="691"/>
      <c r="M4" s="691"/>
      <c r="N4" s="691"/>
      <c r="O4" s="692"/>
    </row>
    <row r="5" spans="1:18" ht="15.75" thickBot="1">
      <c r="A5" s="227"/>
      <c r="B5" s="227"/>
      <c r="C5" s="227"/>
      <c r="D5" s="227"/>
      <c r="E5" s="227"/>
      <c r="F5" s="227"/>
      <c r="G5" s="227"/>
      <c r="H5" s="227"/>
      <c r="I5" s="227"/>
      <c r="J5" s="227"/>
      <c r="K5" s="227"/>
      <c r="L5" s="227"/>
      <c r="M5" s="227"/>
      <c r="N5" s="227"/>
      <c r="O5" s="227"/>
    </row>
    <row r="6" spans="1:18" ht="15" customHeight="1" thickBot="1">
      <c r="A6" s="693" t="s">
        <v>27</v>
      </c>
      <c r="B6" s="693"/>
      <c r="C6" s="228">
        <v>3440.96</v>
      </c>
      <c r="D6" s="693" t="s">
        <v>57</v>
      </c>
      <c r="E6" s="693"/>
      <c r="F6" s="693"/>
      <c r="G6" s="678" t="s">
        <v>45</v>
      </c>
      <c r="H6" s="678"/>
      <c r="I6" s="678"/>
      <c r="J6" s="679"/>
      <c r="K6" s="227"/>
      <c r="L6" s="227"/>
      <c r="M6" s="227"/>
      <c r="N6" s="229" t="s">
        <v>26</v>
      </c>
      <c r="O6" s="230">
        <f>'4.2.1 EXPERIENCIA GRAL'!$N$6</f>
        <v>827307305</v>
      </c>
    </row>
    <row r="7" spans="1:18" ht="21.75" thickBot="1">
      <c r="A7" s="708" t="s">
        <v>43</v>
      </c>
      <c r="B7" s="708"/>
      <c r="C7" s="231">
        <v>43872</v>
      </c>
      <c r="D7" s="232">
        <v>1</v>
      </c>
      <c r="E7" s="709" t="s">
        <v>77</v>
      </c>
      <c r="F7" s="709"/>
      <c r="G7" s="233">
        <f>IF(($C$6-TRUNC($C$6))&lt;=0.5,1,2)</f>
        <v>2</v>
      </c>
      <c r="H7" s="700" t="str">
        <f>IF(G7=3,VLOOKUP(G7,$D$7:$E$8,2,FALSE),IF(G7=2,VLOOKUP(G7,$D$7:$E$8,2,FALSE),IF(G7=1,VLOOKUP(G7,$D$7:$E$8,2,FALSE),"NINGUNO")))</f>
        <v>Media aritmética</v>
      </c>
      <c r="I7" s="701"/>
      <c r="J7" s="234">
        <f ca="1">IF($H$7="Media aritmética",ROUND(SUM(F13:F15)/O7,2),ROUND(_xlfn.STDEV.P(F13:F15),2))</f>
        <v>567296119</v>
      </c>
      <c r="K7" s="227"/>
      <c r="L7" s="227"/>
      <c r="M7" s="227"/>
      <c r="N7" s="235" t="s">
        <v>56</v>
      </c>
      <c r="O7" s="236">
        <f ca="1">COUNT(F13:F15)</f>
        <v>1</v>
      </c>
    </row>
    <row r="8" spans="1:18" ht="26.25" customHeight="1" thickBot="1">
      <c r="A8" s="708" t="s">
        <v>120</v>
      </c>
      <c r="B8" s="708"/>
      <c r="C8" s="237">
        <v>695216223</v>
      </c>
      <c r="D8" s="232">
        <v>2</v>
      </c>
      <c r="E8" s="709" t="s">
        <v>55</v>
      </c>
      <c r="F8" s="709"/>
      <c r="G8" s="227"/>
      <c r="H8" s="227"/>
      <c r="I8" s="227"/>
      <c r="J8" s="227"/>
      <c r="K8" s="227"/>
      <c r="L8" s="227"/>
      <c r="M8" s="238"/>
      <c r="N8" s="227"/>
      <c r="O8" s="227"/>
    </row>
    <row r="9" spans="1:18" ht="21" customHeight="1">
      <c r="A9" s="227"/>
      <c r="B9" s="227"/>
      <c r="C9" s="227"/>
      <c r="D9" s="227"/>
      <c r="E9" s="227"/>
      <c r="F9" s="227"/>
      <c r="G9" s="227"/>
      <c r="H9" s="227"/>
      <c r="I9" s="227"/>
      <c r="J9" s="227"/>
      <c r="K9" s="227"/>
      <c r="L9" s="227"/>
      <c r="M9" s="227"/>
      <c r="N9" s="227"/>
      <c r="O9" s="227"/>
    </row>
    <row r="10" spans="1:18" ht="28.5" customHeight="1">
      <c r="A10" s="227"/>
      <c r="B10" s="227"/>
      <c r="C10" s="227"/>
      <c r="D10" s="227"/>
      <c r="E10" s="227"/>
      <c r="F10" s="227"/>
      <c r="G10" s="199"/>
      <c r="H10" s="704" t="s">
        <v>71</v>
      </c>
      <c r="I10" s="705"/>
      <c r="J10" s="705"/>
      <c r="K10" s="239" t="s">
        <v>2</v>
      </c>
      <c r="L10" s="199"/>
      <c r="M10" s="227"/>
      <c r="N10" s="199"/>
      <c r="O10" s="199"/>
    </row>
    <row r="11" spans="1:18" ht="18" customHeight="1">
      <c r="A11" s="240"/>
      <c r="B11" s="238"/>
      <c r="C11" s="240"/>
      <c r="D11" s="238"/>
      <c r="E11" s="241" t="s">
        <v>51</v>
      </c>
      <c r="F11" s="238"/>
      <c r="G11" s="199"/>
      <c r="H11" s="242">
        <v>100</v>
      </c>
      <c r="I11" s="242">
        <v>150</v>
      </c>
      <c r="J11" s="242">
        <v>50</v>
      </c>
      <c r="K11" s="239">
        <f>+SUM(H11:J11)</f>
        <v>300</v>
      </c>
      <c r="L11" s="227"/>
      <c r="M11" s="199"/>
      <c r="N11" s="199"/>
      <c r="O11" s="199"/>
      <c r="P11" s="41"/>
      <c r="R11" s="31"/>
    </row>
    <row r="12" spans="1:18" ht="47.25" customHeight="1">
      <c r="A12" s="243" t="s">
        <v>29</v>
      </c>
      <c r="B12" s="702" t="s">
        <v>30</v>
      </c>
      <c r="C12" s="706"/>
      <c r="D12" s="707"/>
      <c r="E12" s="244" t="s">
        <v>52</v>
      </c>
      <c r="F12" s="243" t="s">
        <v>121</v>
      </c>
      <c r="G12" s="245" t="s">
        <v>44</v>
      </c>
      <c r="H12" s="245" t="s">
        <v>72</v>
      </c>
      <c r="I12" s="245" t="s">
        <v>73</v>
      </c>
      <c r="J12" s="246" t="s">
        <v>48</v>
      </c>
      <c r="K12" s="246" t="s">
        <v>28</v>
      </c>
      <c r="L12" s="702" t="s">
        <v>208</v>
      </c>
      <c r="M12" s="703"/>
      <c r="N12" s="199"/>
      <c r="O12" s="199"/>
      <c r="Q12" s="694" t="s">
        <v>28</v>
      </c>
      <c r="R12" s="694"/>
    </row>
    <row r="13" spans="1:18" s="35" customFormat="1" ht="93" customHeight="1">
      <c r="A13" s="247">
        <f>+IF('1_ENTREGA'!A8="","",'1_ENTREGA'!A8)</f>
        <v>1</v>
      </c>
      <c r="B13" s="695" t="str">
        <f t="shared" ref="B13:B15" si="0">IF(A13="","",VLOOKUP(A13,LISTA_OFERENTES,2,FALSE))</f>
        <v>Instrumentación y Servicios S.A.S</v>
      </c>
      <c r="C13" s="696"/>
      <c r="D13" s="697"/>
      <c r="E13" s="248" t="str">
        <f>IFERROR(IF(VLOOKUP(A13,ESTATUS,8,FALSE)=0, " ",VLOOKUP(A13,ESTATUS,8,FALSE))," ")</f>
        <v>NH</v>
      </c>
      <c r="F13" s="249" t="str">
        <f>IF(OR(E13="NH",E13=""),"",IF(VLOOKUP(A13,COSTO_D,2,FALSE)&gt;$C$8,"REVISAR",ROUND(VLOOKUP(A13,COSTO_D,2,FALSE),0)))</f>
        <v/>
      </c>
      <c r="G13" s="250" t="str">
        <f>IF(F13="","",IF($H$7="Media aritmética",(F13&lt;=$J$7)*100+(F13&gt;$J$7)*0,IF(AND((AVERAGE($F$13:$F$15)-$J$7/2&lt;=F13),(F13&lt;(AVERAGE($F$13:$F$15)+$J$7/2))),100,0)))</f>
        <v/>
      </c>
      <c r="H13" s="251" t="str">
        <f>+IF(E13="H",HLOOKUP(A13,'Cálculo Pt2'!$D$7:$O$11,3,FALSE),"")</f>
        <v/>
      </c>
      <c r="I13" s="251" t="str">
        <f>+IF(E13="H",HLOOKUP(A13,'Cálculo Pt2'!$D$7:$O$11,4,FALSE),"")</f>
        <v/>
      </c>
      <c r="J13" s="252" t="str">
        <f>IF(OR(E13="",E13="NH"),"",SUM(G13:I13))</f>
        <v/>
      </c>
      <c r="K13" s="253" t="str">
        <f t="shared" ref="K13:K15" si="1">IFERROR(IF(OR(E13=" ",E13="NH")," ",VLOOKUP(J13,ORDEN,2,FALSE))," ")</f>
        <v xml:space="preserve"> </v>
      </c>
      <c r="L13" s="698"/>
      <c r="M13" s="699"/>
      <c r="N13" s="254"/>
      <c r="O13" s="254"/>
      <c r="Q13" s="66">
        <f ca="1">IFERROR(LARGE($J$13:$J$15,R13)," ")</f>
        <v>300</v>
      </c>
      <c r="R13" s="65">
        <v>1</v>
      </c>
    </row>
    <row r="14" spans="1:18" s="35" customFormat="1" ht="26.25">
      <c r="A14" s="247">
        <f>+IF('1_ENTREGA'!A9="","",'1_ENTREGA'!A9)</f>
        <v>2</v>
      </c>
      <c r="B14" s="695" t="str">
        <f t="shared" si="0"/>
        <v>CTL Company Ltda</v>
      </c>
      <c r="C14" s="696"/>
      <c r="D14" s="697"/>
      <c r="E14" s="248" t="str">
        <f t="shared" ref="E14:E15" si="2">IFERROR(IF(VLOOKUP(A14,ESTATUS,8,FALSE)=0, " ",VLOOKUP(A14,ESTATUS,8,FALSE))," ")</f>
        <v>H</v>
      </c>
      <c r="F14" s="249">
        <f ca="1">IF(OR(E14="NH",E14=""),"",IF(VLOOKUP(A14,COSTO_D,2,FALSE)&gt;$C$8,"REVISAR",ROUND(VLOOKUP(A14,COSTO_D,2,FALSE),0)))</f>
        <v>567296119</v>
      </c>
      <c r="G14" s="250">
        <f ca="1">IF(F14="","",IF($H$7="Media aritmética",(F14&lt;=$J$7)*100+(F14&gt;$J$7)*0,IF(AND((AVERAGE($F$13:$F$15)-$J$7/2&lt;=F14),(F14&lt;(AVERAGE($F$13:$F$15)+$J$7/2))),100,0)))</f>
        <v>100</v>
      </c>
      <c r="H14" s="251">
        <f>+IF(E14="H",HLOOKUP(A14,'Cálculo Pt2'!$D$7:$O$11,3,FALSE),"")</f>
        <v>150</v>
      </c>
      <c r="I14" s="251">
        <f>+IF(E14="H",HLOOKUP(A14,'Cálculo Pt2'!$D$7:$O$11,4,FALSE),"")</f>
        <v>50.000000000000007</v>
      </c>
      <c r="J14" s="252">
        <f t="shared" ref="J14:J15" ca="1" si="3">IF(OR(E14="",E14="NH"),"",SUM(G14:I14))</f>
        <v>300</v>
      </c>
      <c r="K14" s="253">
        <f t="shared" ca="1" si="1"/>
        <v>1</v>
      </c>
      <c r="L14" s="698"/>
      <c r="M14" s="699"/>
      <c r="N14" s="254"/>
      <c r="O14" s="254"/>
      <c r="Q14" s="66" t="str">
        <f ca="1">IFERROR(LARGE($J$13:$J$15,R14)," ")</f>
        <v xml:space="preserve"> </v>
      </c>
      <c r="R14" s="65">
        <v>2</v>
      </c>
    </row>
    <row r="15" spans="1:18" s="35" customFormat="1" ht="26.25">
      <c r="A15" s="247">
        <f>+IF('1_ENTREGA'!A10="","",'1_ENTREGA'!A10)</f>
        <v>3</v>
      </c>
      <c r="B15" s="695" t="str">
        <f t="shared" si="0"/>
        <v>Avantika Colombia S.A.S</v>
      </c>
      <c r="C15" s="696"/>
      <c r="D15" s="697"/>
      <c r="E15" s="248" t="str">
        <f t="shared" si="2"/>
        <v>NH</v>
      </c>
      <c r="F15" s="249" t="str">
        <f t="shared" ref="F15" si="4">IF(OR(E15="NH",E15=""),"",IF(VLOOKUP(A15,COSTO_D,2,FALSE)&gt;$C$8,"REVISAR",ROUND(VLOOKUP(A15,COSTO_D,2,FALSE),0)))</f>
        <v/>
      </c>
      <c r="G15" s="250" t="str">
        <f>IF(F15="","",IF($H$7="Media aritmética",(F15&lt;=$J$7)*100+(F15&gt;$J$7)*0,IF(AND((AVERAGE($F$13:$F$15)-$J$7/2&lt;=F15),(F15&lt;(AVERAGE($F$13:$F$15)+$J$7/2))),100,0)))</f>
        <v/>
      </c>
      <c r="H15" s="251" t="str">
        <f>+IF(E15="H",HLOOKUP(A15,'Cálculo Pt2'!$D$7:$O$11,3,FALSE),"")</f>
        <v/>
      </c>
      <c r="I15" s="251" t="str">
        <f>+IF(E15="H",HLOOKUP(A15,'Cálculo Pt2'!$D$7:$O$11,4,FALSE),"")</f>
        <v/>
      </c>
      <c r="J15" s="252" t="str">
        <f t="shared" si="3"/>
        <v/>
      </c>
      <c r="K15" s="253" t="str">
        <f t="shared" si="1"/>
        <v xml:space="preserve"> </v>
      </c>
      <c r="L15" s="698"/>
      <c r="M15" s="699"/>
      <c r="N15" s="254"/>
      <c r="O15" s="254"/>
      <c r="Q15" s="66" t="str">
        <f ca="1">IFERROR(LARGE($J$13:$J$15,R15)," ")</f>
        <v xml:space="preserve"> </v>
      </c>
      <c r="R15" s="65">
        <v>3</v>
      </c>
    </row>
    <row r="16" spans="1:18">
      <c r="A16" s="199"/>
      <c r="B16" s="199"/>
      <c r="C16" s="199"/>
      <c r="D16" s="199"/>
      <c r="E16" s="199"/>
      <c r="F16" s="199"/>
      <c r="G16" s="199"/>
      <c r="H16" s="199"/>
      <c r="I16" s="199"/>
      <c r="J16" s="199"/>
      <c r="K16" s="199"/>
      <c r="L16" s="199"/>
      <c r="M16" s="199"/>
      <c r="N16" s="199"/>
      <c r="O16" s="199"/>
    </row>
    <row r="17" spans="1:15">
      <c r="A17" s="199"/>
      <c r="B17" s="199"/>
      <c r="C17" s="199"/>
      <c r="D17" s="199"/>
      <c r="E17" s="199"/>
      <c r="F17" s="199"/>
      <c r="G17" s="199"/>
      <c r="H17" s="199"/>
      <c r="I17" s="199"/>
      <c r="J17" s="199"/>
      <c r="K17" s="255"/>
      <c r="L17" s="199"/>
      <c r="M17" s="199"/>
      <c r="N17" s="199"/>
      <c r="O17" s="199"/>
    </row>
    <row r="18" spans="1:15">
      <c r="A18" s="199"/>
      <c r="B18" s="199"/>
      <c r="C18" s="199"/>
      <c r="D18" s="199"/>
      <c r="E18" s="199"/>
      <c r="F18" s="199"/>
      <c r="G18" s="199"/>
      <c r="H18" s="199"/>
      <c r="I18" s="199"/>
      <c r="J18" s="199"/>
      <c r="K18" s="199"/>
      <c r="L18" s="199"/>
      <c r="M18" s="199"/>
      <c r="N18" s="199"/>
      <c r="O18" s="199"/>
    </row>
    <row r="19" spans="1:15">
      <c r="F19" s="67"/>
    </row>
  </sheetData>
  <sheetProtection algorithmName="SHA-512" hashValue="66jO5QH729ec5MOfL8+eTMYgcq8KDWNaNcW3GTakP4b56inNgkinl55m6RyjdVmsS+6m17j30AvnSMC7lfBjgg==" saltValue="+JIsjxGT8OEfAnaBDcizOg==" spinCount="100000" sheet="1" formatColumns="0" formatRows="0"/>
  <mergeCells count="22">
    <mergeCell ref="Q12:R12"/>
    <mergeCell ref="B15:D15"/>
    <mergeCell ref="L15:M15"/>
    <mergeCell ref="H7:I7"/>
    <mergeCell ref="L12:M12"/>
    <mergeCell ref="H10:J10"/>
    <mergeCell ref="B14:D14"/>
    <mergeCell ref="B12:D12"/>
    <mergeCell ref="A7:B7"/>
    <mergeCell ref="B13:D13"/>
    <mergeCell ref="A8:B8"/>
    <mergeCell ref="E7:F7"/>
    <mergeCell ref="E8:F8"/>
    <mergeCell ref="L14:M14"/>
    <mergeCell ref="L13:M13"/>
    <mergeCell ref="G6:J6"/>
    <mergeCell ref="A1:O1"/>
    <mergeCell ref="A2:O2"/>
    <mergeCell ref="A3:O3"/>
    <mergeCell ref="A4:O4"/>
    <mergeCell ref="D6:F6"/>
    <mergeCell ref="A6:B6"/>
  </mergeCells>
  <conditionalFormatting sqref="K13:K15">
    <cfRule type="cellIs" dxfId="6" priority="24" operator="equal">
      <formula>1</formula>
    </cfRule>
  </conditionalFormatting>
  <conditionalFormatting sqref="E13:E15">
    <cfRule type="cellIs" dxfId="5" priority="22" operator="equal">
      <formula>"NH"</formula>
    </cfRule>
    <cfRule type="cellIs" dxfId="4" priority="23" operator="equal">
      <formula>"H"</formula>
    </cfRule>
  </conditionalFormatting>
  <printOptions horizontalCentered="1"/>
  <pageMargins left="0.39370078740157483" right="0.19685039370078741" top="0.59055118110236227" bottom="0.39370078740157483" header="0.31496062992125984" footer="0.31496062992125984"/>
  <pageSetup scale="76" fitToHeight="0"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F18" sqref="F18"/>
    </sheetView>
  </sheetViews>
  <sheetFormatPr baseColWidth="10" defaultRowHeight="12.75"/>
  <cols>
    <col min="1" max="1" width="17.28515625" customWidth="1"/>
    <col min="2" max="3" width="16.42578125" customWidth="1"/>
    <col min="4" max="4" width="19.7109375" customWidth="1"/>
  </cols>
  <sheetData>
    <row r="1" spans="1:4" ht="15">
      <c r="A1" s="710" t="s">
        <v>257</v>
      </c>
      <c r="B1" s="710"/>
      <c r="C1" s="710"/>
      <c r="D1" s="710"/>
    </row>
    <row r="2" spans="1:4" ht="15">
      <c r="A2" s="711" t="s">
        <v>258</v>
      </c>
      <c r="B2" s="258"/>
      <c r="C2" s="712" t="s">
        <v>259</v>
      </c>
      <c r="D2" s="712"/>
    </row>
    <row r="3" spans="1:4" ht="30">
      <c r="A3" s="711"/>
      <c r="B3" s="75" t="s">
        <v>209</v>
      </c>
      <c r="C3" s="75" t="s">
        <v>212</v>
      </c>
      <c r="D3" s="75" t="s">
        <v>214</v>
      </c>
    </row>
    <row r="4" spans="1:4">
      <c r="A4" s="76" t="s">
        <v>260</v>
      </c>
      <c r="B4" s="77" t="s">
        <v>237</v>
      </c>
      <c r="C4" s="77" t="s">
        <v>220</v>
      </c>
      <c r="D4" s="77" t="s">
        <v>237</v>
      </c>
    </row>
    <row r="5" spans="1:4">
      <c r="A5" s="76" t="s">
        <v>261</v>
      </c>
      <c r="B5" s="77" t="s">
        <v>237</v>
      </c>
      <c r="C5" s="77" t="s">
        <v>220</v>
      </c>
      <c r="D5" s="77" t="s">
        <v>237</v>
      </c>
    </row>
    <row r="6" spans="1:4">
      <c r="A6" s="76" t="s">
        <v>262</v>
      </c>
      <c r="B6" s="77" t="s">
        <v>237</v>
      </c>
      <c r="C6" s="77" t="s">
        <v>220</v>
      </c>
      <c r="D6" s="77" t="s">
        <v>237</v>
      </c>
    </row>
    <row r="7" spans="1:4">
      <c r="A7" s="76" t="s">
        <v>263</v>
      </c>
      <c r="B7" s="77" t="s">
        <v>237</v>
      </c>
      <c r="C7" s="77" t="s">
        <v>220</v>
      </c>
      <c r="D7" s="77" t="s">
        <v>237</v>
      </c>
    </row>
    <row r="8" spans="1:4">
      <c r="A8" s="76" t="s">
        <v>264</v>
      </c>
      <c r="B8" s="77" t="s">
        <v>237</v>
      </c>
      <c r="C8" s="77" t="s">
        <v>220</v>
      </c>
      <c r="D8" s="77" t="s">
        <v>237</v>
      </c>
    </row>
    <row r="9" spans="1:4">
      <c r="A9" s="76" t="s">
        <v>265</v>
      </c>
      <c r="B9" s="77" t="s">
        <v>237</v>
      </c>
      <c r="C9" s="77" t="s">
        <v>220</v>
      </c>
      <c r="D9" s="77" t="s">
        <v>237</v>
      </c>
    </row>
    <row r="10" spans="1:4">
      <c r="A10" s="76" t="s">
        <v>266</v>
      </c>
      <c r="B10" s="77" t="s">
        <v>237</v>
      </c>
      <c r="C10" s="77" t="s">
        <v>220</v>
      </c>
      <c r="D10" s="77" t="s">
        <v>237</v>
      </c>
    </row>
    <row r="11" spans="1:4" ht="15">
      <c r="A11" s="78" t="s">
        <v>107</v>
      </c>
      <c r="B11" s="77" t="str">
        <f>IF(COUNTIF(B4:B10,"cumple")=7,"H","NH")</f>
        <v>NH</v>
      </c>
      <c r="C11" s="77" t="str">
        <f>IF(COUNTIF(C4:C10,"cumple")=7,"H","NH")</f>
        <v>H</v>
      </c>
      <c r="D11" s="77" t="str">
        <f>IF(COUNTIF(D4:D10,"cumple")=7,"H","NH")</f>
        <v>NH</v>
      </c>
    </row>
  </sheetData>
  <sheetProtection algorithmName="SHA-512" hashValue="d7Hx+0Qo+xY0T9iKF7rpXtfJEMzCUo020J+TWWR9MddWOzg3n8SXR5wPU8+w6QLl2JQtyaXm6hcsuUGbmwYJ0g==" saltValue="iAinxfoTB2XglErBWrqNDg==" spinCount="100000" sheet="1" objects="1" scenarios="1"/>
  <mergeCells count="3">
    <mergeCell ref="A1:D1"/>
    <mergeCell ref="A2:A3"/>
    <mergeCell ref="C2:D2"/>
  </mergeCells>
  <conditionalFormatting sqref="C11:D11">
    <cfRule type="cellIs" dxfId="3" priority="3" operator="equal">
      <formula>"NH"</formula>
    </cfRule>
    <cfRule type="cellIs" dxfId="2" priority="4" operator="equal">
      <formula>"H"</formula>
    </cfRule>
  </conditionalFormatting>
  <conditionalFormatting sqref="B11">
    <cfRule type="cellIs" dxfId="1" priority="1" operator="equal">
      <formula>"NH"</formula>
    </cfRule>
    <cfRule type="cellIs" dxfId="0" priority="2" operator="equal">
      <formula>"H"</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sheetPr>
  <dimension ref="A1:I11"/>
  <sheetViews>
    <sheetView showGridLines="0" workbookViewId="0">
      <selection activeCell="I7" sqref="I7"/>
    </sheetView>
  </sheetViews>
  <sheetFormatPr baseColWidth="10" defaultColWidth="11.42578125" defaultRowHeight="14.25"/>
  <cols>
    <col min="1" max="1" width="3.42578125" style="9" bestFit="1" customWidth="1"/>
    <col min="2" max="2" width="12.42578125" style="9" bestFit="1" customWidth="1"/>
    <col min="3" max="3" width="11.5703125" style="9" bestFit="1" customWidth="1"/>
    <col min="4" max="4" width="29.28515625" style="9" customWidth="1"/>
    <col min="5" max="5" width="14.28515625" style="9" bestFit="1" customWidth="1"/>
    <col min="6" max="6" width="24" style="9" customWidth="1"/>
    <col min="7" max="7" width="16.85546875" style="9" customWidth="1"/>
    <col min="8" max="8" width="14.140625" style="9" bestFit="1" customWidth="1"/>
    <col min="9" max="9" width="26.5703125" style="9" customWidth="1"/>
    <col min="10" max="16384" width="11.42578125" style="9"/>
  </cols>
  <sheetData>
    <row r="1" spans="1:9" ht="34.5" customHeight="1">
      <c r="A1" s="454"/>
      <c r="B1" s="456" t="s">
        <v>4</v>
      </c>
      <c r="C1" s="456"/>
      <c r="D1" s="456"/>
      <c r="E1" s="456"/>
      <c r="F1" s="456"/>
      <c r="G1" s="456"/>
      <c r="H1" s="456"/>
      <c r="I1" s="457"/>
    </row>
    <row r="2" spans="1:9" ht="32.25" customHeight="1">
      <c r="A2" s="455"/>
      <c r="B2" s="458" t="str">
        <f>+'1_ENTREGA'!A2</f>
        <v>Invitación Pública N° VA-130-2019</v>
      </c>
      <c r="C2" s="458"/>
      <c r="D2" s="458"/>
      <c r="E2" s="458"/>
      <c r="F2" s="458"/>
      <c r="G2" s="458"/>
      <c r="H2" s="458"/>
      <c r="I2" s="459"/>
    </row>
    <row r="3" spans="1:9" ht="92.25" customHeight="1">
      <c r="A3" s="455"/>
      <c r="B3" s="460" t="str">
        <f>+'1_ENTREGA'!A4</f>
        <v xml:space="preserve">“Compraventa, transporte, instalación y puesta en servicio de: once (11) cabinas de extracción, seis (6) cabinas de flujo laminar vertical, una (1) cabina PCR (cabina para la reacción en cadena de la polimerasa), bases, conexión de ventilador a control integrado a las cabinas de extracción, conexión de abasto de agua y desagüe al interior de los laboratorios, conexión de gases especiales, pruebas para calificación, y demás elementos necesarios para su correcto funcionamiento, en la Seccional Oriente de la Universidad de Antioquia, por precios unitarios fijos no reajustables, conforme conforme con los planos, cantidades y especificaciones técnicas.” </v>
      </c>
      <c r="C3" s="460"/>
      <c r="D3" s="460"/>
      <c r="E3" s="460"/>
      <c r="F3" s="460"/>
      <c r="G3" s="460"/>
      <c r="H3" s="460"/>
      <c r="I3" s="461"/>
    </row>
    <row r="4" spans="1:9" ht="18" customHeight="1">
      <c r="A4" s="462" t="s">
        <v>42</v>
      </c>
      <c r="B4" s="463"/>
      <c r="C4" s="463"/>
      <c r="D4" s="463"/>
      <c r="E4" s="463"/>
      <c r="F4" s="463"/>
      <c r="G4" s="463"/>
      <c r="H4" s="463"/>
      <c r="I4" s="464"/>
    </row>
    <row r="5" spans="1:9" ht="33" customHeight="1">
      <c r="A5" s="465" t="s">
        <v>166</v>
      </c>
      <c r="B5" s="466"/>
      <c r="C5" s="467"/>
      <c r="D5" s="87"/>
      <c r="E5" s="88"/>
      <c r="F5" s="88"/>
      <c r="G5" s="88"/>
      <c r="H5" s="88"/>
      <c r="I5" s="89"/>
    </row>
    <row r="6" spans="1:9" ht="45">
      <c r="A6" s="90" t="s">
        <v>33</v>
      </c>
      <c r="B6" s="90" t="s">
        <v>34</v>
      </c>
      <c r="C6" s="91" t="s">
        <v>35</v>
      </c>
      <c r="D6" s="90" t="s">
        <v>31</v>
      </c>
      <c r="E6" s="91" t="s">
        <v>36</v>
      </c>
      <c r="F6" s="91" t="s">
        <v>37</v>
      </c>
      <c r="G6" s="91" t="s">
        <v>38</v>
      </c>
      <c r="H6" s="91" t="s">
        <v>39</v>
      </c>
      <c r="I6" s="91" t="s">
        <v>13</v>
      </c>
    </row>
    <row r="7" spans="1:9" ht="42" customHeight="1">
      <c r="A7" s="92">
        <f>IF('1_ENTREGA'!A8="","",'1_ENTREGA'!A8)</f>
        <v>1</v>
      </c>
      <c r="B7" s="93">
        <v>2020001761</v>
      </c>
      <c r="C7" s="94">
        <v>0.37554398148148144</v>
      </c>
      <c r="D7" s="95" t="s">
        <v>209</v>
      </c>
      <c r="E7" s="96" t="s">
        <v>210</v>
      </c>
      <c r="F7" s="97" t="s">
        <v>211</v>
      </c>
      <c r="G7" s="97">
        <v>113</v>
      </c>
      <c r="H7" s="98">
        <v>819861537</v>
      </c>
      <c r="I7" s="99"/>
    </row>
    <row r="8" spans="1:9" ht="42" customHeight="1">
      <c r="A8" s="92">
        <f>IF('1_ENTREGA'!A9="","",'1_ENTREGA'!A9)</f>
        <v>2</v>
      </c>
      <c r="B8" s="93">
        <v>2020001762</v>
      </c>
      <c r="C8" s="94">
        <v>0.3758333333333333</v>
      </c>
      <c r="D8" s="95" t="s">
        <v>212</v>
      </c>
      <c r="E8" s="96" t="s">
        <v>213</v>
      </c>
      <c r="F8" s="97" t="s">
        <v>238</v>
      </c>
      <c r="G8" s="97">
        <v>223</v>
      </c>
      <c r="H8" s="98">
        <v>675452311</v>
      </c>
      <c r="I8" s="99"/>
    </row>
    <row r="9" spans="1:9" ht="42" customHeight="1">
      <c r="A9" s="92">
        <f>IF('1_ENTREGA'!A10="","",'1_ENTREGA'!A10)</f>
        <v>3</v>
      </c>
      <c r="B9" s="93">
        <v>2020001766</v>
      </c>
      <c r="C9" s="94">
        <v>0.38090277777777781</v>
      </c>
      <c r="D9" s="95" t="s">
        <v>214</v>
      </c>
      <c r="E9" s="96" t="s">
        <v>215</v>
      </c>
      <c r="F9" s="97" t="s">
        <v>216</v>
      </c>
      <c r="G9" s="97">
        <v>315</v>
      </c>
      <c r="H9" s="98">
        <v>645452311</v>
      </c>
      <c r="I9" s="99"/>
    </row>
    <row r="10" spans="1:9">
      <c r="A10" s="100"/>
      <c r="B10" s="100"/>
      <c r="C10" s="100"/>
      <c r="D10" s="100"/>
      <c r="E10" s="100"/>
      <c r="F10" s="100"/>
      <c r="G10" s="100"/>
      <c r="H10" s="100"/>
      <c r="I10" s="100"/>
    </row>
    <row r="11" spans="1:9" ht="54.75" customHeight="1">
      <c r="A11" s="452" t="s">
        <v>240</v>
      </c>
      <c r="B11" s="452"/>
      <c r="C11" s="452"/>
      <c r="D11" s="453"/>
      <c r="E11" s="453"/>
      <c r="F11" s="453"/>
      <c r="G11" s="453"/>
      <c r="H11" s="453"/>
      <c r="I11" s="453"/>
    </row>
  </sheetData>
  <sheetProtection algorithmName="SHA-512" hashValue="1OwFoFuDId9VwMXpc1aAWW53yt4mlFOd/MFzXpQ/+NSABY8n+x+LctfJR8SGoEdq97OrTwfVCJkEb7LQT0XZow==" saltValue="fwYAww1pUtq9P/+F608MLg==" spinCount="100000" sheet="1" objects="1" scenarios="1"/>
  <mergeCells count="7">
    <mergeCell ref="A11:I11"/>
    <mergeCell ref="A1:A3"/>
    <mergeCell ref="B1:I1"/>
    <mergeCell ref="B2:I2"/>
    <mergeCell ref="B3:I3"/>
    <mergeCell ref="A4:I4"/>
    <mergeCell ref="A5:C5"/>
  </mergeCells>
  <printOptions horizontalCentered="1"/>
  <pageMargins left="0.70866141732283472" right="0.70866141732283472" top="0.74803149606299213" bottom="0.74803149606299213" header="0.31496062992125984" footer="0.31496062992125984"/>
  <pageSetup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pageSetUpPr fitToPage="1"/>
  </sheetPr>
  <dimension ref="A1:E44"/>
  <sheetViews>
    <sheetView view="pageBreakPreview" zoomScale="70" zoomScaleNormal="25" zoomScaleSheetLayoutView="70" workbookViewId="0">
      <selection activeCell="C24" sqref="C24"/>
    </sheetView>
  </sheetViews>
  <sheetFormatPr baseColWidth="10" defaultColWidth="11.42578125" defaultRowHeight="15"/>
  <cols>
    <col min="1" max="1" width="23.28515625" style="53" customWidth="1"/>
    <col min="2" max="2" width="82.85546875" style="53" customWidth="1"/>
    <col min="3" max="5" width="66.5703125" style="53" customWidth="1"/>
    <col min="6" max="16384" width="11.42578125" style="49"/>
  </cols>
  <sheetData>
    <row r="1" spans="1:5" ht="41.25" customHeight="1">
      <c r="A1" s="101"/>
      <c r="B1" s="48" t="s">
        <v>65</v>
      </c>
      <c r="C1" s="48"/>
      <c r="D1" s="48"/>
      <c r="E1" s="48"/>
    </row>
    <row r="2" spans="1:5" ht="15.75">
      <c r="A2" s="102"/>
      <c r="B2" s="1"/>
      <c r="C2" s="1"/>
      <c r="D2" s="1"/>
      <c r="E2" s="1"/>
    </row>
    <row r="3" spans="1:5" ht="15.75">
      <c r="A3" s="103"/>
      <c r="B3" s="50" t="s">
        <v>25</v>
      </c>
      <c r="C3" s="51">
        <v>1</v>
      </c>
      <c r="D3" s="51">
        <v>2</v>
      </c>
      <c r="E3" s="51">
        <v>3</v>
      </c>
    </row>
    <row r="4" spans="1:5" ht="15.75">
      <c r="A4" s="103"/>
      <c r="B4" s="50" t="s">
        <v>31</v>
      </c>
      <c r="C4" s="51" t="str">
        <f t="shared" ref="C4:E4" si="0">+VLOOKUP(C3,LISTA_OFERENTES,2,FALSE)</f>
        <v>Instrumentación y Servicios S.A.S</v>
      </c>
      <c r="D4" s="51" t="str">
        <f t="shared" si="0"/>
        <v>CTL Company Ltda</v>
      </c>
      <c r="E4" s="51" t="str">
        <f t="shared" si="0"/>
        <v>Avantika Colombia S.A.S</v>
      </c>
    </row>
    <row r="5" spans="1:5" ht="20.25" customHeight="1">
      <c r="A5" s="103"/>
      <c r="B5" s="50" t="s">
        <v>40</v>
      </c>
      <c r="C5" s="51" t="str">
        <f>IF('1_ENTREGA'!$A7="","",VLOOKUP(C3,'2_APERTURA DE SOBRES'!$A$7:$I$9,5,FALSE))</f>
        <v>830505910-7</v>
      </c>
      <c r="D5" s="51" t="str">
        <f>IF('1_ENTREGA'!$A7="","",VLOOKUP(D3,'2_APERTURA DE SOBRES'!$A$7:$I$9,5,FALSE))</f>
        <v>900026709-0</v>
      </c>
      <c r="E5" s="51" t="str">
        <f>IF('1_ENTREGA'!$A7="","",VLOOKUP(E3,'2_APERTURA DE SOBRES'!$A$7:$I$9,5,FALSE))</f>
        <v>890101977-3</v>
      </c>
    </row>
    <row r="6" spans="1:5" ht="31.5" hidden="1">
      <c r="A6" s="104"/>
      <c r="B6" s="105" t="s">
        <v>153</v>
      </c>
      <c r="C6" s="106"/>
      <c r="D6" s="106"/>
      <c r="E6" s="106"/>
    </row>
    <row r="7" spans="1:5" ht="33" hidden="1" customHeight="1">
      <c r="A7" s="107" t="s">
        <v>12</v>
      </c>
      <c r="B7" s="108" t="s">
        <v>80</v>
      </c>
      <c r="C7" s="109"/>
      <c r="D7" s="109"/>
      <c r="E7" s="109"/>
    </row>
    <row r="8" spans="1:5" ht="165" hidden="1">
      <c r="A8" s="110">
        <v>1</v>
      </c>
      <c r="B8" s="111" t="s">
        <v>147</v>
      </c>
      <c r="C8" s="112"/>
      <c r="D8" s="113"/>
      <c r="E8" s="113"/>
    </row>
    <row r="9" spans="1:5" ht="123" hidden="1" customHeight="1">
      <c r="A9" s="110">
        <v>2</v>
      </c>
      <c r="B9" s="114" t="s">
        <v>138</v>
      </c>
      <c r="C9" s="112"/>
      <c r="D9" s="113"/>
      <c r="E9" s="113"/>
    </row>
    <row r="10" spans="1:5" ht="45" hidden="1">
      <c r="A10" s="110">
        <v>3</v>
      </c>
      <c r="B10" s="114" t="s">
        <v>110</v>
      </c>
      <c r="C10" s="112"/>
      <c r="D10" s="113"/>
      <c r="E10" s="113"/>
    </row>
    <row r="11" spans="1:5" hidden="1">
      <c r="A11" s="110">
        <v>4</v>
      </c>
      <c r="B11" s="114" t="s">
        <v>111</v>
      </c>
      <c r="C11" s="112"/>
      <c r="D11" s="113"/>
      <c r="E11" s="113"/>
    </row>
    <row r="12" spans="1:5" ht="25.5" hidden="1" customHeight="1">
      <c r="A12" s="110">
        <v>5</v>
      </c>
      <c r="B12" s="114" t="s">
        <v>122</v>
      </c>
      <c r="C12" s="112"/>
      <c r="D12" s="113"/>
      <c r="E12" s="113"/>
    </row>
    <row r="13" spans="1:5" ht="45" hidden="1">
      <c r="A13" s="110">
        <v>6</v>
      </c>
      <c r="B13" s="114" t="s">
        <v>139</v>
      </c>
      <c r="C13" s="112"/>
      <c r="D13" s="113"/>
      <c r="E13" s="113"/>
    </row>
    <row r="14" spans="1:5" hidden="1">
      <c r="A14" s="110">
        <v>7</v>
      </c>
      <c r="B14" s="114" t="s">
        <v>113</v>
      </c>
      <c r="C14" s="115"/>
      <c r="D14" s="113"/>
      <c r="E14" s="113"/>
    </row>
    <row r="15" spans="1:5" ht="91.5" hidden="1" customHeight="1">
      <c r="A15" s="110">
        <v>8</v>
      </c>
      <c r="B15" s="111" t="s">
        <v>148</v>
      </c>
      <c r="C15" s="115"/>
      <c r="D15" s="113"/>
      <c r="E15" s="113"/>
    </row>
    <row r="16" spans="1:5" ht="107.25" hidden="1" customHeight="1">
      <c r="A16" s="468">
        <v>9</v>
      </c>
      <c r="B16" s="114" t="s">
        <v>137</v>
      </c>
      <c r="C16" s="112"/>
      <c r="D16" s="113"/>
      <c r="E16" s="113"/>
    </row>
    <row r="17" spans="1:5" hidden="1">
      <c r="A17" s="469"/>
      <c r="B17" s="116" t="s">
        <v>140</v>
      </c>
      <c r="C17" s="117"/>
      <c r="D17" s="113"/>
      <c r="E17" s="113"/>
    </row>
    <row r="18" spans="1:5" hidden="1">
      <c r="A18" s="469"/>
      <c r="B18" s="116" t="s">
        <v>143</v>
      </c>
      <c r="C18" s="112"/>
      <c r="D18" s="113"/>
      <c r="E18" s="113"/>
    </row>
    <row r="19" spans="1:5" hidden="1">
      <c r="A19" s="469"/>
      <c r="B19" s="116" t="s">
        <v>144</v>
      </c>
      <c r="C19" s="118"/>
      <c r="D19" s="119"/>
      <c r="E19" s="120"/>
    </row>
    <row r="20" spans="1:5" hidden="1">
      <c r="A20" s="470"/>
      <c r="B20" s="116" t="s">
        <v>145</v>
      </c>
      <c r="C20" s="118"/>
      <c r="D20" s="113"/>
      <c r="E20" s="113"/>
    </row>
    <row r="21" spans="1:5" ht="120" hidden="1">
      <c r="A21" s="121" t="s">
        <v>151</v>
      </c>
      <c r="B21" s="122" t="s">
        <v>152</v>
      </c>
      <c r="C21" s="123"/>
      <c r="D21" s="124"/>
      <c r="E21" s="124"/>
    </row>
    <row r="22" spans="1:5" s="52" customFormat="1" ht="15.75">
      <c r="A22" s="125"/>
      <c r="B22" s="126"/>
      <c r="C22" s="127"/>
      <c r="D22" s="128"/>
      <c r="E22" s="128"/>
    </row>
    <row r="23" spans="1:5" ht="24.75" customHeight="1">
      <c r="A23" s="129" t="s">
        <v>12</v>
      </c>
      <c r="B23" s="130" t="s">
        <v>168</v>
      </c>
      <c r="C23" s="131"/>
      <c r="D23" s="131"/>
      <c r="E23" s="131"/>
    </row>
    <row r="24" spans="1:5" ht="255">
      <c r="A24" s="132">
        <v>1</v>
      </c>
      <c r="B24" s="133" t="s">
        <v>169</v>
      </c>
      <c r="C24" s="134" t="s">
        <v>244</v>
      </c>
      <c r="D24" s="135" t="s">
        <v>244</v>
      </c>
      <c r="E24" s="135" t="s">
        <v>244</v>
      </c>
    </row>
    <row r="25" spans="1:5" ht="60">
      <c r="A25" s="132">
        <v>2</v>
      </c>
      <c r="B25" s="136" t="s">
        <v>149</v>
      </c>
      <c r="C25" s="135" t="s">
        <v>245</v>
      </c>
      <c r="D25" s="134" t="s">
        <v>244</v>
      </c>
      <c r="E25" s="134" t="s">
        <v>244</v>
      </c>
    </row>
    <row r="26" spans="1:5" ht="45">
      <c r="A26" s="132">
        <v>3</v>
      </c>
      <c r="B26" s="136" t="s">
        <v>150</v>
      </c>
      <c r="C26" s="135" t="s">
        <v>244</v>
      </c>
      <c r="D26" s="134" t="s">
        <v>244</v>
      </c>
      <c r="E26" s="134" t="s">
        <v>244</v>
      </c>
    </row>
    <row r="27" spans="1:5" ht="45">
      <c r="A27" s="132">
        <v>4</v>
      </c>
      <c r="B27" s="136" t="s">
        <v>112</v>
      </c>
      <c r="C27" s="137" t="s">
        <v>244</v>
      </c>
      <c r="D27" s="134" t="s">
        <v>244</v>
      </c>
      <c r="E27" s="134" t="s">
        <v>244</v>
      </c>
    </row>
    <row r="28" spans="1:5">
      <c r="A28" s="132">
        <v>5</v>
      </c>
      <c r="B28" s="136" t="s">
        <v>113</v>
      </c>
      <c r="C28" s="134" t="s">
        <v>244</v>
      </c>
      <c r="D28" s="135" t="s">
        <v>244</v>
      </c>
      <c r="E28" s="135" t="s">
        <v>244</v>
      </c>
    </row>
    <row r="29" spans="1:5" ht="60">
      <c r="A29" s="132">
        <v>6</v>
      </c>
      <c r="B29" s="136" t="s">
        <v>170</v>
      </c>
      <c r="C29" s="134" t="s">
        <v>244</v>
      </c>
      <c r="D29" s="138" t="s">
        <v>253</v>
      </c>
      <c r="E29" s="138" t="s">
        <v>244</v>
      </c>
    </row>
    <row r="30" spans="1:5" ht="90">
      <c r="A30" s="471">
        <v>7</v>
      </c>
      <c r="B30" s="136" t="s">
        <v>137</v>
      </c>
      <c r="C30" s="134" t="s">
        <v>244</v>
      </c>
      <c r="D30" s="135" t="s">
        <v>244</v>
      </c>
      <c r="E30" s="135" t="s">
        <v>244</v>
      </c>
    </row>
    <row r="31" spans="1:5">
      <c r="A31" s="472"/>
      <c r="B31" s="139" t="s">
        <v>140</v>
      </c>
      <c r="C31" s="134" t="s">
        <v>246</v>
      </c>
      <c r="D31" s="135" t="s">
        <v>247</v>
      </c>
      <c r="E31" s="135" t="s">
        <v>247</v>
      </c>
    </row>
    <row r="32" spans="1:5">
      <c r="A32" s="472"/>
      <c r="B32" s="136" t="s">
        <v>141</v>
      </c>
      <c r="C32" s="134" t="s">
        <v>248</v>
      </c>
      <c r="D32" s="135" t="s">
        <v>249</v>
      </c>
      <c r="E32" s="135" t="s">
        <v>250</v>
      </c>
    </row>
    <row r="33" spans="1:5">
      <c r="A33" s="472"/>
      <c r="B33" s="136" t="s">
        <v>142</v>
      </c>
      <c r="C33" s="140">
        <v>82730730.5</v>
      </c>
      <c r="D33" s="141">
        <v>82730731</v>
      </c>
      <c r="E33" s="141">
        <v>82730731</v>
      </c>
    </row>
    <row r="34" spans="1:5">
      <c r="A34" s="473"/>
      <c r="B34" s="136" t="s">
        <v>155</v>
      </c>
      <c r="C34" s="142" t="s">
        <v>251</v>
      </c>
      <c r="D34" s="142" t="s">
        <v>252</v>
      </c>
      <c r="E34" s="142" t="s">
        <v>252</v>
      </c>
    </row>
    <row r="35" spans="1:5" s="58" customFormat="1" ht="15.75">
      <c r="A35" s="129" t="s">
        <v>154</v>
      </c>
      <c r="B35" s="143"/>
      <c r="C35" s="144" t="s">
        <v>220</v>
      </c>
      <c r="D35" s="144" t="s">
        <v>220</v>
      </c>
      <c r="E35" s="144" t="s">
        <v>220</v>
      </c>
    </row>
    <row r="43" spans="1:5">
      <c r="C43" s="57"/>
    </row>
    <row r="44" spans="1:5">
      <c r="C44" s="57"/>
    </row>
  </sheetData>
  <sheetProtection algorithmName="SHA-512" hashValue="iQB1exXYpF7IBFfyZy2TaK0L8v81NV1btikmguaC+9DYyrc/i+1Tunyd3GFCH6ZmCnvSEJMXqG674J+8WerIEw==" saltValue="GVfli8HwOAPc++U9aydrVA==" spinCount="100000" sheet="1" formatColumns="0" formatRows="0"/>
  <mergeCells count="2">
    <mergeCell ref="A16:A20"/>
    <mergeCell ref="A30:A34"/>
  </mergeCells>
  <conditionalFormatting sqref="C35">
    <cfRule type="cellIs" dxfId="433" priority="5" operator="equal">
      <formula>"NO CUMPLE"</formula>
    </cfRule>
    <cfRule type="cellIs" dxfId="432" priority="6" operator="equal">
      <formula>"CUMPLE"</formula>
    </cfRule>
  </conditionalFormatting>
  <conditionalFormatting sqref="D35">
    <cfRule type="cellIs" dxfId="431" priority="3" operator="equal">
      <formula>"NO CUMPLE"</formula>
    </cfRule>
    <cfRule type="cellIs" dxfId="430" priority="4" operator="equal">
      <formula>"CUMPLE"</formula>
    </cfRule>
  </conditionalFormatting>
  <conditionalFormatting sqref="E35">
    <cfRule type="cellIs" dxfId="429" priority="1" operator="equal">
      <formula>"NO CUMPLE"</formula>
    </cfRule>
    <cfRule type="cellIs" dxfId="428" priority="2" operator="equal">
      <formula>"CUMPLE"</formula>
    </cfRule>
  </conditionalFormatting>
  <dataValidations count="1">
    <dataValidation type="list" allowBlank="1" showInputMessage="1" showErrorMessage="1" sqref="C35:E35">
      <formula1>"CUMPLE,NO CUMPLE"</formula1>
    </dataValidation>
  </dataValidations>
  <printOptions horizontalCentered="1"/>
  <pageMargins left="0.39370078740157483" right="0.19685039370078741" top="0.39370078740157483" bottom="0.39370078740157483" header="0.31496062992125984" footer="0.31496062992125984"/>
  <pageSetup scale="33" orientation="portrait" horizontalDpi="300" verticalDpi="300" r:id="rId1"/>
  <rowBreaks count="1" manualBreakCount="1">
    <brk id="2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FFFF00"/>
  </sheetPr>
  <dimension ref="A1:AJ65"/>
  <sheetViews>
    <sheetView topLeftCell="H10" zoomScale="60" zoomScaleNormal="60" workbookViewId="0">
      <selection activeCell="Q19" sqref="Q19:Q21"/>
    </sheetView>
  </sheetViews>
  <sheetFormatPr baseColWidth="10" defaultColWidth="11.42578125" defaultRowHeight="30" customHeight="1"/>
  <cols>
    <col min="1" max="1" width="6" style="14" customWidth="1"/>
    <col min="2" max="2" width="6.85546875" style="14" bestFit="1" customWidth="1"/>
    <col min="3" max="3" width="30.7109375" style="10" customWidth="1"/>
    <col min="4" max="4" width="17" style="10" customWidth="1"/>
    <col min="5" max="5" width="17.28515625" style="17" customWidth="1"/>
    <col min="6" max="6" width="29.42578125" style="18" customWidth="1"/>
    <col min="7" max="7" width="21.85546875" style="18" customWidth="1"/>
    <col min="8" max="8" width="25.5703125" style="10" customWidth="1"/>
    <col min="9" max="9" width="16.7109375" style="10" customWidth="1"/>
    <col min="10" max="10" width="18.42578125" style="10" bestFit="1" customWidth="1"/>
    <col min="11" max="11" width="11.28515625" style="10" customWidth="1"/>
    <col min="12" max="12" width="18.42578125" style="10" customWidth="1"/>
    <col min="13" max="13" width="12" style="10" customWidth="1"/>
    <col min="14" max="14" width="24.7109375" style="10" customWidth="1"/>
    <col min="15" max="15" width="25.5703125" style="10" customWidth="1"/>
    <col min="16" max="16" width="39.5703125" style="10" customWidth="1"/>
    <col min="17" max="17" width="32.28515625" style="10" customWidth="1"/>
    <col min="18" max="18" width="24.42578125" style="10" customWidth="1"/>
    <col min="19" max="19" width="20.85546875" style="10" customWidth="1"/>
    <col min="20" max="20" width="36.5703125" style="10" customWidth="1"/>
    <col min="21" max="22" width="11.42578125" style="10"/>
    <col min="23" max="23" width="11.42578125" style="19"/>
    <col min="24" max="24" width="39.5703125" style="19" customWidth="1"/>
    <col min="25" max="25" width="22.85546875" style="19" customWidth="1"/>
    <col min="26" max="26" width="32.42578125" style="19" customWidth="1"/>
    <col min="27" max="27" width="11.42578125" style="10"/>
    <col min="28" max="29" width="11.42578125" style="10" hidden="1" customWidth="1"/>
    <col min="30" max="30" width="35.140625" style="10" hidden="1" customWidth="1"/>
    <col min="31" max="31" width="19.5703125" style="10" hidden="1" customWidth="1"/>
    <col min="32" max="36" width="11.42578125" style="10" hidden="1" customWidth="1"/>
    <col min="37" max="16384" width="11.42578125" style="10"/>
  </cols>
  <sheetData>
    <row r="1" spans="1:35" ht="39.950000000000003" customHeight="1">
      <c r="B1" s="551" t="s">
        <v>66</v>
      </c>
      <c r="C1" s="552"/>
      <c r="D1" s="552"/>
      <c r="E1" s="552"/>
      <c r="F1" s="552"/>
      <c r="G1" s="552"/>
      <c r="H1" s="552"/>
      <c r="I1" s="552"/>
      <c r="J1" s="552"/>
      <c r="K1" s="552"/>
      <c r="L1" s="552"/>
      <c r="M1" s="552"/>
      <c r="N1" s="552"/>
      <c r="O1" s="552"/>
      <c r="P1" s="552"/>
      <c r="Q1" s="552"/>
      <c r="R1" s="552"/>
      <c r="S1" s="553"/>
      <c r="T1" s="145"/>
      <c r="W1" s="10"/>
      <c r="X1" s="10"/>
      <c r="Y1" s="10"/>
      <c r="Z1" s="10"/>
    </row>
    <row r="2" spans="1:35" s="12" customFormat="1" ht="12.75" customHeight="1">
      <c r="A2" s="11"/>
      <c r="B2" s="146"/>
      <c r="C2" s="147"/>
      <c r="D2" s="147"/>
      <c r="E2" s="147"/>
      <c r="F2" s="147"/>
      <c r="G2" s="147"/>
      <c r="H2" s="147"/>
      <c r="I2" s="145"/>
      <c r="J2" s="145"/>
      <c r="K2" s="145"/>
      <c r="L2" s="145"/>
      <c r="M2" s="145"/>
      <c r="N2" s="148"/>
      <c r="O2" s="148"/>
      <c r="P2" s="148"/>
      <c r="Q2" s="148"/>
      <c r="R2" s="148"/>
      <c r="S2" s="148"/>
      <c r="T2" s="148"/>
    </row>
    <row r="3" spans="1:35" s="12" customFormat="1" ht="306" customHeight="1">
      <c r="B3" s="568" t="s">
        <v>171</v>
      </c>
      <c r="C3" s="568"/>
      <c r="D3" s="568"/>
      <c r="E3" s="568"/>
      <c r="F3" s="568"/>
      <c r="G3" s="568"/>
      <c r="H3" s="568"/>
      <c r="I3" s="568"/>
      <c r="J3" s="568"/>
      <c r="K3" s="568"/>
      <c r="L3" s="568"/>
      <c r="M3" s="568"/>
      <c r="N3" s="568"/>
      <c r="O3" s="568"/>
      <c r="P3" s="568"/>
      <c r="Q3" s="568"/>
      <c r="R3" s="568"/>
      <c r="S3" s="568"/>
      <c r="T3" s="568"/>
    </row>
    <row r="4" spans="1:35" s="12" customFormat="1" ht="12.75" customHeight="1">
      <c r="B4" s="148"/>
      <c r="C4" s="148"/>
      <c r="D4" s="148"/>
      <c r="E4" s="148"/>
      <c r="F4" s="554"/>
      <c r="G4" s="554"/>
      <c r="H4" s="554"/>
      <c r="I4" s="554"/>
      <c r="J4" s="554"/>
      <c r="K4" s="554"/>
      <c r="L4" s="554"/>
      <c r="M4" s="554"/>
      <c r="N4" s="554"/>
      <c r="O4" s="145"/>
      <c r="P4" s="145"/>
      <c r="Q4" s="148"/>
      <c r="R4" s="148"/>
      <c r="S4" s="148"/>
      <c r="T4" s="148"/>
    </row>
    <row r="5" spans="1:35" s="12" customFormat="1" ht="30.75" customHeight="1">
      <c r="B5" s="148"/>
      <c r="C5" s="148"/>
      <c r="D5" s="148"/>
      <c r="E5" s="148"/>
      <c r="F5" s="555" t="s">
        <v>68</v>
      </c>
      <c r="G5" s="556"/>
      <c r="H5" s="149" t="s">
        <v>69</v>
      </c>
      <c r="I5" s="148"/>
      <c r="J5" s="148"/>
      <c r="K5" s="148"/>
      <c r="L5" s="557" t="s">
        <v>32</v>
      </c>
      <c r="M5" s="557"/>
      <c r="N5" s="558" t="s">
        <v>0</v>
      </c>
      <c r="O5" s="558"/>
      <c r="P5" s="150" t="s">
        <v>1</v>
      </c>
      <c r="Q5" s="148"/>
      <c r="R5" s="148"/>
      <c r="S5" s="148"/>
      <c r="T5" s="148"/>
    </row>
    <row r="6" spans="1:35" s="12" customFormat="1" ht="48" customHeight="1">
      <c r="B6" s="148"/>
      <c r="C6" s="148"/>
      <c r="D6" s="148"/>
      <c r="E6" s="148"/>
      <c r="F6" s="537">
        <v>828116</v>
      </c>
      <c r="G6" s="538"/>
      <c r="H6" s="151">
        <v>2</v>
      </c>
      <c r="I6" s="148"/>
      <c r="J6" s="148"/>
      <c r="K6" s="148"/>
      <c r="L6" s="557"/>
      <c r="M6" s="557"/>
      <c r="N6" s="539">
        <v>827307305</v>
      </c>
      <c r="O6" s="539"/>
      <c r="P6" s="152">
        <f>+ROUND(N6/$F$6,0)</f>
        <v>999</v>
      </c>
      <c r="Q6" s="148"/>
      <c r="R6" s="148"/>
      <c r="S6" s="148"/>
      <c r="T6" s="148"/>
    </row>
    <row r="7" spans="1:35" s="12" customFormat="1" ht="12.75" customHeight="1">
      <c r="A7" s="13"/>
      <c r="B7" s="153"/>
      <c r="C7" s="154"/>
      <c r="D7" s="155"/>
      <c r="E7" s="156"/>
      <c r="F7" s="145"/>
      <c r="G7" s="145"/>
      <c r="H7" s="145"/>
      <c r="I7" s="157"/>
      <c r="J7" s="145"/>
      <c r="K7" s="145"/>
      <c r="L7" s="145"/>
      <c r="M7" s="145"/>
      <c r="N7" s="148"/>
      <c r="O7" s="148"/>
      <c r="P7" s="148"/>
      <c r="Q7" s="148"/>
      <c r="R7" s="148"/>
      <c r="S7" s="148"/>
      <c r="T7" s="148"/>
    </row>
    <row r="8" spans="1:35" ht="15">
      <c r="B8" s="158"/>
      <c r="C8" s="145"/>
      <c r="D8" s="145"/>
      <c r="E8" s="159"/>
      <c r="F8" s="160"/>
      <c r="G8" s="160"/>
      <c r="H8" s="145"/>
      <c r="I8" s="145"/>
      <c r="J8" s="145"/>
      <c r="K8" s="145"/>
      <c r="L8" s="145"/>
      <c r="M8" s="145"/>
      <c r="N8" s="145"/>
      <c r="O8" s="145"/>
      <c r="P8" s="145"/>
      <c r="Q8" s="145"/>
      <c r="R8" s="145"/>
      <c r="S8" s="145"/>
      <c r="T8" s="145"/>
      <c r="W8" s="10"/>
      <c r="X8" s="10"/>
      <c r="Y8" s="10"/>
      <c r="Z8" s="10"/>
    </row>
    <row r="9" spans="1:35" ht="15">
      <c r="B9" s="158"/>
      <c r="C9" s="145"/>
      <c r="D9" s="145"/>
      <c r="E9" s="159"/>
      <c r="F9" s="160"/>
      <c r="G9" s="160"/>
      <c r="H9" s="145"/>
      <c r="I9" s="145"/>
      <c r="J9" s="145"/>
      <c r="K9" s="145"/>
      <c r="L9" s="145"/>
      <c r="M9" s="145"/>
      <c r="N9" s="145"/>
      <c r="O9" s="145"/>
      <c r="P9" s="145"/>
      <c r="Q9" s="145"/>
      <c r="R9" s="145"/>
      <c r="S9" s="145"/>
      <c r="T9" s="145"/>
      <c r="W9" s="10"/>
      <c r="X9" s="10"/>
      <c r="Y9" s="10"/>
      <c r="Z9" s="10"/>
    </row>
    <row r="10" spans="1:35" ht="74.25" customHeight="1">
      <c r="B10" s="161">
        <v>1</v>
      </c>
      <c r="C10" s="559" t="s">
        <v>129</v>
      </c>
      <c r="D10" s="560"/>
      <c r="E10" s="561"/>
      <c r="F10" s="562" t="str">
        <f>IFERROR(VLOOKUP(B10,LISTA_OFERENTES,2,FALSE)," ")</f>
        <v>Instrumentación y Servicios S.A.S</v>
      </c>
      <c r="G10" s="563"/>
      <c r="H10" s="563"/>
      <c r="I10" s="563"/>
      <c r="J10" s="563"/>
      <c r="K10" s="563"/>
      <c r="L10" s="563"/>
      <c r="M10" s="563"/>
      <c r="N10" s="563"/>
      <c r="O10" s="564"/>
      <c r="P10" s="565" t="s">
        <v>114</v>
      </c>
      <c r="Q10" s="566"/>
      <c r="R10" s="567"/>
      <c r="S10" s="162">
        <f>5-(INT(COUNTBLANK(C13:C24))-7)</f>
        <v>1</v>
      </c>
      <c r="T10" s="163"/>
    </row>
    <row r="11" spans="1:35" s="55" customFormat="1" ht="33.75" customHeight="1">
      <c r="B11" s="532" t="s">
        <v>47</v>
      </c>
      <c r="C11" s="516" t="s">
        <v>15</v>
      </c>
      <c r="D11" s="516" t="s">
        <v>16</v>
      </c>
      <c r="E11" s="516" t="s">
        <v>17</v>
      </c>
      <c r="F11" s="516" t="s">
        <v>18</v>
      </c>
      <c r="G11" s="516" t="s">
        <v>19</v>
      </c>
      <c r="H11" s="516" t="s">
        <v>20</v>
      </c>
      <c r="I11" s="516" t="s">
        <v>21</v>
      </c>
      <c r="J11" s="529" t="s">
        <v>54</v>
      </c>
      <c r="K11" s="530"/>
      <c r="L11" s="530"/>
      <c r="M11" s="531"/>
      <c r="N11" s="516" t="s">
        <v>82</v>
      </c>
      <c r="O11" s="516" t="s">
        <v>83</v>
      </c>
      <c r="P11" s="164" t="s">
        <v>84</v>
      </c>
      <c r="Q11" s="164"/>
      <c r="R11" s="516" t="s">
        <v>85</v>
      </c>
      <c r="S11" s="516" t="s">
        <v>86</v>
      </c>
      <c r="T11" s="516" t="s">
        <v>172</v>
      </c>
      <c r="U11" s="56"/>
      <c r="V11" s="56"/>
      <c r="W11" s="540" t="s">
        <v>106</v>
      </c>
      <c r="X11" s="541"/>
      <c r="Y11" s="542"/>
      <c r="Z11" s="15" t="s">
        <v>107</v>
      </c>
    </row>
    <row r="12" spans="1:35" s="55" customFormat="1" ht="48" customHeight="1">
      <c r="B12" s="533"/>
      <c r="C12" s="517"/>
      <c r="D12" s="517"/>
      <c r="E12" s="517"/>
      <c r="F12" s="517"/>
      <c r="G12" s="517"/>
      <c r="H12" s="517"/>
      <c r="I12" s="517"/>
      <c r="J12" s="518" t="s">
        <v>128</v>
      </c>
      <c r="K12" s="519"/>
      <c r="L12" s="519"/>
      <c r="M12" s="520"/>
      <c r="N12" s="517"/>
      <c r="O12" s="517"/>
      <c r="P12" s="165" t="s">
        <v>13</v>
      </c>
      <c r="Q12" s="165" t="s">
        <v>87</v>
      </c>
      <c r="R12" s="517"/>
      <c r="S12" s="517"/>
      <c r="T12" s="517"/>
      <c r="U12" s="56"/>
      <c r="V12" s="56"/>
      <c r="W12" s="63">
        <v>1</v>
      </c>
      <c r="X12" s="64" t="str">
        <f>IFERROR(VLOOKUP(W12,LISTA_OFERENTES,2,FALSE)," ")</f>
        <v>Instrumentación y Servicios S.A.S</v>
      </c>
      <c r="Y12" s="64" t="str">
        <f ca="1">VLOOKUP(X12,BANDERA,2,FALSE)</f>
        <v>CUMPLE</v>
      </c>
      <c r="Z12" s="7" t="str">
        <f ca="1">IF(Y12="CUMPLE","H","NH")</f>
        <v>H</v>
      </c>
      <c r="AD12" s="16" t="str">
        <f>X12</f>
        <v>Instrumentación y Servicios S.A.S</v>
      </c>
      <c r="AE12" s="42" t="str">
        <f ca="1">INDIRECT("T"&amp;AH12)</f>
        <v>CUMPLE</v>
      </c>
      <c r="AG12" s="61" t="s">
        <v>123</v>
      </c>
      <c r="AH12" s="54">
        <v>25</v>
      </c>
      <c r="AI12" s="62"/>
    </row>
    <row r="13" spans="1:35" s="3" customFormat="1" ht="24.95" customHeight="1">
      <c r="A13" s="6"/>
      <c r="B13" s="483">
        <v>1</v>
      </c>
      <c r="C13" s="477">
        <v>59</v>
      </c>
      <c r="D13" s="477">
        <v>23</v>
      </c>
      <c r="E13" s="477" t="s">
        <v>217</v>
      </c>
      <c r="F13" s="477" t="s">
        <v>218</v>
      </c>
      <c r="G13" s="480">
        <v>5151.0200000000004</v>
      </c>
      <c r="H13" s="489" t="s">
        <v>219</v>
      </c>
      <c r="I13" s="492">
        <v>1</v>
      </c>
      <c r="J13" s="523" t="s">
        <v>220</v>
      </c>
      <c r="K13" s="513">
        <v>411048</v>
      </c>
      <c r="L13" s="523" t="s">
        <v>220</v>
      </c>
      <c r="M13" s="513">
        <v>411049</v>
      </c>
      <c r="N13" s="495" t="s">
        <v>221</v>
      </c>
      <c r="O13" s="495" t="s">
        <v>222</v>
      </c>
      <c r="P13" s="498"/>
      <c r="Q13" s="534" t="s">
        <v>223</v>
      </c>
      <c r="R13" s="534" t="s">
        <v>224</v>
      </c>
      <c r="S13" s="504">
        <f>IF(COUNTIF(J13:M15,"CUMPLE")&gt;=1,(G13*I13),0)* (IF(N13="PRESENTÓ CERTIFICADO",1,0))* (IF(O13="ACORDE A ITEM 5.2.1 (T.R.)",1,0) )* ( IF(OR(Q13="SIN OBSERVACIÓN", Q13="REQUERIMIENTOS SUBSANADOS"),1,0)) *(IF(OR(R13="NINGUNO", R13="CUMPLEN CON LO SOLICITADO"),1,0))</f>
        <v>5151.0200000000004</v>
      </c>
      <c r="T13" s="526" t="s">
        <v>225</v>
      </c>
      <c r="W13" s="63">
        <v>2</v>
      </c>
      <c r="X13" s="64" t="str">
        <f t="shared" ref="X13:X14" si="0">IFERROR(VLOOKUP(W13,LISTA_OFERENTES,2,FALSE)," ")</f>
        <v>CTL Company Ltda</v>
      </c>
      <c r="Y13" s="64" t="str">
        <f ca="1">VLOOKUP(X13,BANDERA,2,FALSE)</f>
        <v>CUMPLE</v>
      </c>
      <c r="Z13" s="7" t="str">
        <f t="shared" ref="Z13:Z14" ca="1" si="1">IF(Y13="CUMPLE","H","NH")</f>
        <v>H</v>
      </c>
      <c r="AD13" s="16" t="str">
        <f t="shared" ref="AD13:AD14" si="2">X13</f>
        <v>CTL Company Ltda</v>
      </c>
      <c r="AE13" s="42" t="str">
        <f t="shared" ref="AE13:AE14" ca="1" si="3">INDIRECT("T"&amp;AH13)</f>
        <v>CUMPLE</v>
      </c>
      <c r="AF13" s="4"/>
      <c r="AG13" s="61" t="s">
        <v>123</v>
      </c>
      <c r="AH13" s="54">
        <f>AH12+AI$13</f>
        <v>44</v>
      </c>
      <c r="AI13" s="573">
        <v>19</v>
      </c>
    </row>
    <row r="14" spans="1:35" s="3" customFormat="1" ht="24.95" customHeight="1">
      <c r="A14" s="6"/>
      <c r="B14" s="484"/>
      <c r="C14" s="478"/>
      <c r="D14" s="478"/>
      <c r="E14" s="478"/>
      <c r="F14" s="478"/>
      <c r="G14" s="481"/>
      <c r="H14" s="490"/>
      <c r="I14" s="493"/>
      <c r="J14" s="524"/>
      <c r="K14" s="514"/>
      <c r="L14" s="524"/>
      <c r="M14" s="514"/>
      <c r="N14" s="496"/>
      <c r="O14" s="496"/>
      <c r="P14" s="499"/>
      <c r="Q14" s="535"/>
      <c r="R14" s="535"/>
      <c r="S14" s="505"/>
      <c r="T14" s="527"/>
      <c r="W14" s="63">
        <v>3</v>
      </c>
      <c r="X14" s="64" t="str">
        <f t="shared" si="0"/>
        <v>Avantika Colombia S.A.S</v>
      </c>
      <c r="Y14" s="64" t="str">
        <f t="shared" ref="Y14" ca="1" si="4">VLOOKUP(X14,BANDERA,2,FALSE)</f>
        <v>CUMPLE</v>
      </c>
      <c r="Z14" s="7" t="str">
        <f t="shared" ca="1" si="1"/>
        <v>H</v>
      </c>
      <c r="AD14" s="16" t="str">
        <f t="shared" si="2"/>
        <v>Avantika Colombia S.A.S</v>
      </c>
      <c r="AE14" s="42" t="str">
        <f t="shared" ca="1" si="3"/>
        <v>CUMPLE</v>
      </c>
      <c r="AF14" s="4"/>
      <c r="AG14" s="61" t="s">
        <v>123</v>
      </c>
      <c r="AH14" s="54">
        <f t="shared" ref="AH14" si="5">AH13+AI$13</f>
        <v>63</v>
      </c>
      <c r="AI14" s="574"/>
    </row>
    <row r="15" spans="1:35" s="3" customFormat="1" ht="24.95" customHeight="1">
      <c r="A15" s="6"/>
      <c r="B15" s="485"/>
      <c r="C15" s="479"/>
      <c r="D15" s="479"/>
      <c r="E15" s="479"/>
      <c r="F15" s="479"/>
      <c r="G15" s="482"/>
      <c r="H15" s="491"/>
      <c r="I15" s="494"/>
      <c r="J15" s="525"/>
      <c r="K15" s="515"/>
      <c r="L15" s="525"/>
      <c r="M15" s="515"/>
      <c r="N15" s="497"/>
      <c r="O15" s="497"/>
      <c r="P15" s="500"/>
      <c r="Q15" s="536"/>
      <c r="R15" s="536"/>
      <c r="S15" s="506"/>
      <c r="T15" s="527"/>
      <c r="W15" s="19"/>
      <c r="X15" s="19"/>
      <c r="Y15" s="19"/>
      <c r="Z15" s="19"/>
    </row>
    <row r="16" spans="1:35" s="3" customFormat="1" ht="24.95" customHeight="1">
      <c r="A16" s="6"/>
      <c r="B16" s="483">
        <v>2</v>
      </c>
      <c r="C16" s="474"/>
      <c r="D16" s="474"/>
      <c r="E16" s="474"/>
      <c r="F16" s="474"/>
      <c r="G16" s="486"/>
      <c r="H16" s="489"/>
      <c r="I16" s="507"/>
      <c r="J16" s="523"/>
      <c r="K16" s="513">
        <v>411048</v>
      </c>
      <c r="L16" s="523"/>
      <c r="M16" s="513">
        <v>411049</v>
      </c>
      <c r="N16" s="495"/>
      <c r="O16" s="495"/>
      <c r="P16" s="510"/>
      <c r="Q16" s="501"/>
      <c r="R16" s="501"/>
      <c r="S16" s="504">
        <f t="shared" ref="S16" si="6">IF(COUNTIF(J16:M18,"CUMPLE")&gt;=1,(G16*I16),0)* (IF(N16="PRESENTÓ CERTIFICADO",1,0))* (IF(O16="ACORDE A ITEM 5.2.1 (T.R.)",1,0) )* ( IF(OR(Q16="SIN OBSERVACIÓN", Q16="REQUERIMIENTOS SUBSANADOS"),1,0)) *(IF(OR(R16="NINGUNO", R16="CUMPLEN CON LO SOLICITADO"),1,0))</f>
        <v>0</v>
      </c>
      <c r="T16" s="527"/>
      <c r="W16" s="19"/>
      <c r="X16" s="19"/>
      <c r="Y16" s="19"/>
      <c r="Z16" s="19"/>
    </row>
    <row r="17" spans="1:35" s="3" customFormat="1" ht="24.95" customHeight="1">
      <c r="A17" s="6"/>
      <c r="B17" s="484"/>
      <c r="C17" s="475"/>
      <c r="D17" s="475"/>
      <c r="E17" s="475"/>
      <c r="F17" s="475"/>
      <c r="G17" s="487"/>
      <c r="H17" s="490"/>
      <c r="I17" s="508"/>
      <c r="J17" s="524"/>
      <c r="K17" s="514"/>
      <c r="L17" s="524"/>
      <c r="M17" s="514"/>
      <c r="N17" s="496"/>
      <c r="O17" s="496"/>
      <c r="P17" s="511"/>
      <c r="Q17" s="502"/>
      <c r="R17" s="502"/>
      <c r="S17" s="505"/>
      <c r="T17" s="527"/>
      <c r="W17" s="19"/>
      <c r="X17" s="19"/>
      <c r="Y17" s="19"/>
      <c r="Z17" s="19"/>
    </row>
    <row r="18" spans="1:35" s="3" customFormat="1" ht="24.95" customHeight="1">
      <c r="A18" s="6"/>
      <c r="B18" s="485"/>
      <c r="C18" s="476"/>
      <c r="D18" s="476"/>
      <c r="E18" s="476"/>
      <c r="F18" s="476"/>
      <c r="G18" s="488"/>
      <c r="H18" s="491"/>
      <c r="I18" s="509"/>
      <c r="J18" s="525"/>
      <c r="K18" s="515"/>
      <c r="L18" s="525"/>
      <c r="M18" s="515"/>
      <c r="N18" s="497"/>
      <c r="O18" s="497"/>
      <c r="P18" s="512"/>
      <c r="Q18" s="503"/>
      <c r="R18" s="503"/>
      <c r="S18" s="506"/>
      <c r="T18" s="527"/>
      <c r="W18" s="19"/>
      <c r="X18" s="19"/>
      <c r="Y18" s="19"/>
      <c r="Z18" s="19"/>
    </row>
    <row r="19" spans="1:35" s="3" customFormat="1" ht="24.95" customHeight="1">
      <c r="A19" s="6"/>
      <c r="B19" s="483">
        <v>3</v>
      </c>
      <c r="C19" s="477"/>
      <c r="D19" s="477"/>
      <c r="E19" s="477"/>
      <c r="F19" s="477"/>
      <c r="G19" s="480"/>
      <c r="H19" s="489"/>
      <c r="I19" s="492"/>
      <c r="J19" s="523"/>
      <c r="K19" s="513">
        <v>411048</v>
      </c>
      <c r="L19" s="523"/>
      <c r="M19" s="513">
        <v>411049</v>
      </c>
      <c r="N19" s="495"/>
      <c r="O19" s="495"/>
      <c r="P19" s="498"/>
      <c r="Q19" s="501"/>
      <c r="R19" s="501"/>
      <c r="S19" s="504">
        <f t="shared" ref="S19" si="7">IF(COUNTIF(J19:M21,"CUMPLE")&gt;=1,(G19*I19),0)* (IF(N19="PRESENTÓ CERTIFICADO",1,0))* (IF(O19="ACORDE A ITEM 5.2.1 (T.R.)",1,0) )* ( IF(OR(Q19="SIN OBSERVACIÓN", Q19="REQUERIMIENTOS SUBSANADOS"),1,0)) *(IF(OR(R19="NINGUNO", R19="CUMPLEN CON LO SOLICITADO"),1,0))</f>
        <v>0</v>
      </c>
      <c r="T19" s="527"/>
      <c r="W19" s="19"/>
      <c r="X19" s="19"/>
      <c r="Y19" s="19"/>
      <c r="Z19" s="19"/>
    </row>
    <row r="20" spans="1:35" s="3" customFormat="1" ht="24.95" customHeight="1">
      <c r="A20" s="6"/>
      <c r="B20" s="484"/>
      <c r="C20" s="478"/>
      <c r="D20" s="478"/>
      <c r="E20" s="478"/>
      <c r="F20" s="478"/>
      <c r="G20" s="481"/>
      <c r="H20" s="490"/>
      <c r="I20" s="493"/>
      <c r="J20" s="524"/>
      <c r="K20" s="514"/>
      <c r="L20" s="524"/>
      <c r="M20" s="514"/>
      <c r="N20" s="496"/>
      <c r="O20" s="496"/>
      <c r="P20" s="499"/>
      <c r="Q20" s="502"/>
      <c r="R20" s="502"/>
      <c r="S20" s="505"/>
      <c r="T20" s="527"/>
      <c r="W20" s="19"/>
      <c r="X20" s="19"/>
      <c r="Y20" s="19"/>
      <c r="Z20" s="19"/>
    </row>
    <row r="21" spans="1:35" s="3" customFormat="1" ht="24.95" customHeight="1">
      <c r="A21" s="6"/>
      <c r="B21" s="485"/>
      <c r="C21" s="479"/>
      <c r="D21" s="479"/>
      <c r="E21" s="479"/>
      <c r="F21" s="479"/>
      <c r="G21" s="482"/>
      <c r="H21" s="491"/>
      <c r="I21" s="494"/>
      <c r="J21" s="525"/>
      <c r="K21" s="515"/>
      <c r="L21" s="525"/>
      <c r="M21" s="515"/>
      <c r="N21" s="497"/>
      <c r="O21" s="497"/>
      <c r="P21" s="500"/>
      <c r="Q21" s="503"/>
      <c r="R21" s="503"/>
      <c r="S21" s="506"/>
      <c r="T21" s="527"/>
      <c r="W21" s="19"/>
      <c r="X21" s="19"/>
      <c r="Y21" s="19"/>
      <c r="Z21" s="19"/>
    </row>
    <row r="22" spans="1:35" s="3" customFormat="1" ht="24.95" customHeight="1">
      <c r="A22" s="6"/>
      <c r="B22" s="483">
        <v>4</v>
      </c>
      <c r="C22" s="474"/>
      <c r="D22" s="474"/>
      <c r="E22" s="474"/>
      <c r="F22" s="474"/>
      <c r="G22" s="486"/>
      <c r="H22" s="489"/>
      <c r="I22" s="507"/>
      <c r="J22" s="523"/>
      <c r="K22" s="513">
        <v>411048</v>
      </c>
      <c r="L22" s="523"/>
      <c r="M22" s="513">
        <v>411049</v>
      </c>
      <c r="N22" s="495"/>
      <c r="O22" s="495"/>
      <c r="P22" s="510"/>
      <c r="Q22" s="501"/>
      <c r="R22" s="501"/>
      <c r="S22" s="504">
        <f t="shared" ref="S22" si="8">IF(COUNTIF(J22:M24,"CUMPLE")&gt;=1,(G22*I22),0)* (IF(N22="PRESENTÓ CERTIFICADO",1,0))* (IF(O22="ACORDE A ITEM 5.2.1 (T.R.)",1,0) )* ( IF(OR(Q22="SIN OBSERVACIÓN", Q22="REQUERIMIENTOS SUBSANADOS"),1,0)) *(IF(OR(R22="NINGUNO", R22="CUMPLEN CON LO SOLICITADO"),1,0))</f>
        <v>0</v>
      </c>
      <c r="T22" s="527"/>
      <c r="W22" s="19"/>
      <c r="X22" s="19"/>
      <c r="Y22" s="19"/>
      <c r="Z22" s="19"/>
    </row>
    <row r="23" spans="1:35" s="3" customFormat="1" ht="24.95" customHeight="1">
      <c r="A23" s="6"/>
      <c r="B23" s="484"/>
      <c r="C23" s="475"/>
      <c r="D23" s="475"/>
      <c r="E23" s="475"/>
      <c r="F23" s="475"/>
      <c r="G23" s="487"/>
      <c r="H23" s="490"/>
      <c r="I23" s="508"/>
      <c r="J23" s="524"/>
      <c r="K23" s="514"/>
      <c r="L23" s="524"/>
      <c r="M23" s="514"/>
      <c r="N23" s="496"/>
      <c r="O23" s="496"/>
      <c r="P23" s="511"/>
      <c r="Q23" s="502"/>
      <c r="R23" s="502"/>
      <c r="S23" s="505"/>
      <c r="T23" s="527"/>
      <c r="W23" s="19"/>
      <c r="X23" s="19"/>
      <c r="Y23" s="19"/>
      <c r="Z23" s="19"/>
    </row>
    <row r="24" spans="1:35" s="3" customFormat="1" ht="24.95" customHeight="1">
      <c r="A24" s="6"/>
      <c r="B24" s="485"/>
      <c r="C24" s="476"/>
      <c r="D24" s="476"/>
      <c r="E24" s="476"/>
      <c r="F24" s="476"/>
      <c r="G24" s="488"/>
      <c r="H24" s="491"/>
      <c r="I24" s="509"/>
      <c r="J24" s="525"/>
      <c r="K24" s="515"/>
      <c r="L24" s="525"/>
      <c r="M24" s="515"/>
      <c r="N24" s="497"/>
      <c r="O24" s="497"/>
      <c r="P24" s="512"/>
      <c r="Q24" s="503"/>
      <c r="R24" s="503"/>
      <c r="S24" s="506"/>
      <c r="T24" s="528"/>
      <c r="W24" s="19"/>
      <c r="X24" s="19"/>
      <c r="Y24" s="19"/>
      <c r="Z24" s="19"/>
    </row>
    <row r="25" spans="1:35" s="2" customFormat="1" ht="24.95" customHeight="1">
      <c r="B25" s="545" t="str">
        <f>IF(S26=" "," ",IF(S26&gt;=$H$6,"CUMPLE CON LA EXPERIENCIA REQUERIDA","NO CUMPLE CON LA EXPERIENCIA REQUERIDA"))</f>
        <v>CUMPLE CON LA EXPERIENCIA REQUERIDA</v>
      </c>
      <c r="C25" s="546"/>
      <c r="D25" s="546"/>
      <c r="E25" s="546"/>
      <c r="F25" s="546"/>
      <c r="G25" s="546"/>
      <c r="H25" s="546"/>
      <c r="I25" s="546"/>
      <c r="J25" s="546"/>
      <c r="K25" s="546"/>
      <c r="L25" s="546"/>
      <c r="M25" s="546"/>
      <c r="N25" s="546"/>
      <c r="O25" s="547"/>
      <c r="P25" s="543" t="s">
        <v>22</v>
      </c>
      <c r="Q25" s="544"/>
      <c r="R25" s="166"/>
      <c r="S25" s="167">
        <f>IF(T13="SI",SUM(S13:S24),0)</f>
        <v>5151.0200000000004</v>
      </c>
      <c r="T25" s="521" t="str">
        <f>IF(S26=" "," ",IF(S26&gt;=$H$6,"CUMPLE","NO CUMPLE"))</f>
        <v>CUMPLE</v>
      </c>
      <c r="W25" s="19"/>
      <c r="X25" s="19"/>
      <c r="Y25" s="19"/>
      <c r="Z25" s="19"/>
      <c r="AD25" s="3"/>
      <c r="AE25" s="3"/>
      <c r="AF25" s="3"/>
      <c r="AG25" s="3"/>
      <c r="AH25" s="3"/>
      <c r="AI25" s="3"/>
    </row>
    <row r="26" spans="1:35" s="3" customFormat="1" ht="24.95" customHeight="1">
      <c r="B26" s="548"/>
      <c r="C26" s="549"/>
      <c r="D26" s="549"/>
      <c r="E26" s="549"/>
      <c r="F26" s="549"/>
      <c r="G26" s="549"/>
      <c r="H26" s="549"/>
      <c r="I26" s="549"/>
      <c r="J26" s="549"/>
      <c r="K26" s="549"/>
      <c r="L26" s="549"/>
      <c r="M26" s="549"/>
      <c r="N26" s="549"/>
      <c r="O26" s="550"/>
      <c r="P26" s="543" t="s">
        <v>24</v>
      </c>
      <c r="Q26" s="544"/>
      <c r="R26" s="166"/>
      <c r="S26" s="168">
        <f>IFERROR((S25/$P$6)," ")</f>
        <v>5.1561761761761762</v>
      </c>
      <c r="T26" s="522"/>
      <c r="W26" s="19"/>
      <c r="X26" s="19"/>
      <c r="Y26" s="19"/>
      <c r="Z26" s="19"/>
    </row>
    <row r="27" spans="1:35" s="3" customFormat="1" ht="30" customHeight="1">
      <c r="B27" s="169"/>
      <c r="C27" s="169"/>
      <c r="D27" s="169"/>
      <c r="E27" s="169"/>
      <c r="F27" s="169"/>
      <c r="G27" s="169"/>
      <c r="H27" s="169"/>
      <c r="I27" s="169"/>
      <c r="J27" s="169"/>
      <c r="K27" s="169"/>
      <c r="L27" s="169"/>
      <c r="M27" s="169"/>
      <c r="N27" s="169"/>
      <c r="O27" s="169"/>
      <c r="P27" s="169"/>
      <c r="Q27" s="169"/>
      <c r="R27" s="169"/>
      <c r="S27" s="169"/>
      <c r="T27" s="169"/>
      <c r="W27" s="19"/>
      <c r="X27" s="19"/>
      <c r="Y27" s="19"/>
      <c r="Z27" s="19"/>
    </row>
    <row r="28" spans="1:35" ht="30" customHeight="1">
      <c r="B28" s="158"/>
      <c r="C28" s="145"/>
      <c r="D28" s="145"/>
      <c r="E28" s="159"/>
      <c r="F28" s="160"/>
      <c r="G28" s="160"/>
      <c r="H28" s="145"/>
      <c r="I28" s="145"/>
      <c r="J28" s="145"/>
      <c r="K28" s="145"/>
      <c r="L28" s="145"/>
      <c r="M28" s="145"/>
      <c r="N28" s="145"/>
      <c r="O28" s="145"/>
      <c r="P28" s="145"/>
      <c r="Q28" s="145"/>
      <c r="R28" s="145"/>
      <c r="S28" s="145"/>
      <c r="T28" s="145"/>
    </row>
    <row r="29" spans="1:35" ht="36" customHeight="1">
      <c r="B29" s="161">
        <v>2</v>
      </c>
      <c r="C29" s="559" t="s">
        <v>81</v>
      </c>
      <c r="D29" s="560"/>
      <c r="E29" s="561"/>
      <c r="F29" s="562" t="str">
        <f>IFERROR(VLOOKUP(B29,LISTA_OFERENTES,2,FALSE)," ")</f>
        <v>CTL Company Ltda</v>
      </c>
      <c r="G29" s="563"/>
      <c r="H29" s="563"/>
      <c r="I29" s="563"/>
      <c r="J29" s="563"/>
      <c r="K29" s="563"/>
      <c r="L29" s="563"/>
      <c r="M29" s="563"/>
      <c r="N29" s="563"/>
      <c r="O29" s="564"/>
      <c r="P29" s="565" t="s">
        <v>114</v>
      </c>
      <c r="Q29" s="566"/>
      <c r="R29" s="567"/>
      <c r="S29" s="162">
        <f>5-(INT(COUNTBLANK(C32:C43))-7)</f>
        <v>4</v>
      </c>
      <c r="T29" s="163"/>
    </row>
    <row r="30" spans="1:35" s="4" customFormat="1" ht="38.25" customHeight="1">
      <c r="B30" s="532" t="s">
        <v>47</v>
      </c>
      <c r="C30" s="516" t="s">
        <v>15</v>
      </c>
      <c r="D30" s="516" t="s">
        <v>16</v>
      </c>
      <c r="E30" s="516" t="s">
        <v>17</v>
      </c>
      <c r="F30" s="516" t="s">
        <v>18</v>
      </c>
      <c r="G30" s="516" t="s">
        <v>19</v>
      </c>
      <c r="H30" s="516" t="s">
        <v>20</v>
      </c>
      <c r="I30" s="516" t="s">
        <v>21</v>
      </c>
      <c r="J30" s="529" t="s">
        <v>54</v>
      </c>
      <c r="K30" s="530"/>
      <c r="L30" s="530"/>
      <c r="M30" s="531"/>
      <c r="N30" s="516" t="s">
        <v>82</v>
      </c>
      <c r="O30" s="516" t="s">
        <v>83</v>
      </c>
      <c r="P30" s="170" t="s">
        <v>84</v>
      </c>
      <c r="Q30" s="170"/>
      <c r="R30" s="516" t="s">
        <v>85</v>
      </c>
      <c r="S30" s="516" t="s">
        <v>86</v>
      </c>
      <c r="T30" s="516" t="str">
        <f>T11</f>
        <v>CUMPLE CON EL REQUERIMIENTO OBLIGATORIO DE ESTAR CLASIFICADO EN UNO DE LOS CÓDIGOS?</v>
      </c>
      <c r="U30" s="5"/>
      <c r="V30" s="5"/>
      <c r="W30" s="19"/>
      <c r="X30" s="19"/>
      <c r="Y30" s="19"/>
      <c r="Z30" s="19"/>
      <c r="AA30" s="19"/>
      <c r="AB30" s="19"/>
      <c r="AC30" s="19"/>
    </row>
    <row r="31" spans="1:35" s="4" customFormat="1" ht="59.25" customHeight="1">
      <c r="B31" s="533"/>
      <c r="C31" s="517"/>
      <c r="D31" s="517"/>
      <c r="E31" s="517"/>
      <c r="F31" s="517"/>
      <c r="G31" s="517"/>
      <c r="H31" s="517"/>
      <c r="I31" s="517"/>
      <c r="J31" s="518" t="s">
        <v>88</v>
      </c>
      <c r="K31" s="519"/>
      <c r="L31" s="519"/>
      <c r="M31" s="520"/>
      <c r="N31" s="517"/>
      <c r="O31" s="517"/>
      <c r="P31" s="165" t="s">
        <v>13</v>
      </c>
      <c r="Q31" s="165" t="s">
        <v>87</v>
      </c>
      <c r="R31" s="517"/>
      <c r="S31" s="517"/>
      <c r="T31" s="517"/>
      <c r="U31" s="5"/>
      <c r="V31" s="5"/>
      <c r="W31" s="19"/>
      <c r="X31" s="19"/>
      <c r="Y31" s="19"/>
      <c r="Z31" s="19"/>
      <c r="AA31" s="19"/>
      <c r="AB31" s="19"/>
      <c r="AC31" s="19"/>
    </row>
    <row r="32" spans="1:35" s="3" customFormat="1" ht="24.95" customHeight="1">
      <c r="A32" s="6"/>
      <c r="B32" s="483">
        <v>1</v>
      </c>
      <c r="C32" s="477">
        <v>58</v>
      </c>
      <c r="D32" s="477">
        <v>70</v>
      </c>
      <c r="E32" s="477" t="s">
        <v>226</v>
      </c>
      <c r="F32" s="477" t="s">
        <v>227</v>
      </c>
      <c r="G32" s="480">
        <v>47.47</v>
      </c>
      <c r="H32" s="489" t="s">
        <v>219</v>
      </c>
      <c r="I32" s="492">
        <v>1</v>
      </c>
      <c r="J32" s="523" t="s">
        <v>220</v>
      </c>
      <c r="K32" s="513">
        <v>411048</v>
      </c>
      <c r="L32" s="523" t="s">
        <v>237</v>
      </c>
      <c r="M32" s="513">
        <v>411049</v>
      </c>
      <c r="N32" s="495" t="s">
        <v>221</v>
      </c>
      <c r="O32" s="495" t="s">
        <v>222</v>
      </c>
      <c r="P32" s="498"/>
      <c r="Q32" s="534" t="s">
        <v>223</v>
      </c>
      <c r="R32" s="534" t="s">
        <v>224</v>
      </c>
      <c r="S32" s="504">
        <f>IF(COUNTIF(J32:M34,"CUMPLE")&gt;=1,(G32*I32),0)* (IF(N32="PRESENTÓ CERTIFICADO",1,0))* (IF(O32="ACORDE A ITEM 5.2.1 (T.R.)",1,0) )* ( IF(OR(Q32="SIN OBSERVACIÓN", Q32="REQUERIMIENTOS SUBSANADOS"),1,0)) *(IF(OR(R32="NINGUNO", R32="CUMPLEN CON LO SOLICITADO"),1,0))</f>
        <v>47.47</v>
      </c>
      <c r="T32" s="526" t="s">
        <v>225</v>
      </c>
      <c r="W32" s="19"/>
      <c r="X32" s="19"/>
      <c r="Y32" s="19"/>
      <c r="Z32" s="19"/>
      <c r="AA32" s="19"/>
      <c r="AB32" s="19"/>
      <c r="AC32" s="19"/>
    </row>
    <row r="33" spans="1:29" s="3" customFormat="1" ht="24.95" customHeight="1">
      <c r="A33" s="6"/>
      <c r="B33" s="484"/>
      <c r="C33" s="478"/>
      <c r="D33" s="478"/>
      <c r="E33" s="478"/>
      <c r="F33" s="478"/>
      <c r="G33" s="481"/>
      <c r="H33" s="490"/>
      <c r="I33" s="493"/>
      <c r="J33" s="524"/>
      <c r="K33" s="514"/>
      <c r="L33" s="524"/>
      <c r="M33" s="514"/>
      <c r="N33" s="496"/>
      <c r="O33" s="496"/>
      <c r="P33" s="499"/>
      <c r="Q33" s="535"/>
      <c r="R33" s="535"/>
      <c r="S33" s="505"/>
      <c r="T33" s="527"/>
      <c r="W33" s="19"/>
      <c r="X33" s="19"/>
      <c r="Y33" s="19"/>
      <c r="Z33" s="19"/>
      <c r="AA33" s="19"/>
      <c r="AB33" s="19"/>
      <c r="AC33" s="19"/>
    </row>
    <row r="34" spans="1:29" s="3" customFormat="1" ht="24.95" customHeight="1">
      <c r="A34" s="6"/>
      <c r="B34" s="485"/>
      <c r="C34" s="479"/>
      <c r="D34" s="479"/>
      <c r="E34" s="479"/>
      <c r="F34" s="479"/>
      <c r="G34" s="482"/>
      <c r="H34" s="491"/>
      <c r="I34" s="494"/>
      <c r="J34" s="525"/>
      <c r="K34" s="515"/>
      <c r="L34" s="525"/>
      <c r="M34" s="515"/>
      <c r="N34" s="497"/>
      <c r="O34" s="497"/>
      <c r="P34" s="500"/>
      <c r="Q34" s="536"/>
      <c r="R34" s="536"/>
      <c r="S34" s="506"/>
      <c r="T34" s="527"/>
      <c r="W34" s="19"/>
      <c r="X34" s="19"/>
      <c r="Y34" s="19"/>
      <c r="Z34" s="19"/>
      <c r="AA34" s="19"/>
      <c r="AB34" s="19"/>
      <c r="AC34" s="19"/>
    </row>
    <row r="35" spans="1:29" s="3" customFormat="1" ht="24.95" customHeight="1">
      <c r="A35" s="6"/>
      <c r="B35" s="483">
        <v>2</v>
      </c>
      <c r="C35" s="474">
        <v>251</v>
      </c>
      <c r="D35" s="474">
        <v>190</v>
      </c>
      <c r="E35" s="474" t="s">
        <v>228</v>
      </c>
      <c r="F35" s="474" t="s">
        <v>227</v>
      </c>
      <c r="G35" s="486">
        <v>1439.53</v>
      </c>
      <c r="H35" s="489" t="s">
        <v>219</v>
      </c>
      <c r="I35" s="507">
        <v>1</v>
      </c>
      <c r="J35" s="523" t="s">
        <v>220</v>
      </c>
      <c r="K35" s="513">
        <v>411048</v>
      </c>
      <c r="L35" s="523" t="s">
        <v>220</v>
      </c>
      <c r="M35" s="513">
        <v>411049</v>
      </c>
      <c r="N35" s="495" t="s">
        <v>221</v>
      </c>
      <c r="O35" s="495" t="s">
        <v>222</v>
      </c>
      <c r="P35" s="510"/>
      <c r="Q35" s="501" t="s">
        <v>223</v>
      </c>
      <c r="R35" s="501" t="s">
        <v>224</v>
      </c>
      <c r="S35" s="504">
        <f t="shared" ref="S35" si="9">IF(COUNTIF(J35:M37,"CUMPLE")&gt;=1,(G35*I35),0)* (IF(N35="PRESENTÓ CERTIFICADO",1,0))* (IF(O35="ACORDE A ITEM 5.2.1 (T.R.)",1,0) )* ( IF(OR(Q35="SIN OBSERVACIÓN", Q35="REQUERIMIENTOS SUBSANADOS"),1,0)) *(IF(OR(R35="NINGUNO", R35="CUMPLEN CON LO SOLICITADO"),1,0))</f>
        <v>1439.53</v>
      </c>
      <c r="T35" s="527"/>
      <c r="W35" s="19"/>
      <c r="X35" s="19"/>
      <c r="Y35" s="19"/>
      <c r="Z35" s="19"/>
      <c r="AA35" s="19"/>
      <c r="AB35" s="19"/>
      <c r="AC35" s="19"/>
    </row>
    <row r="36" spans="1:29" s="3" customFormat="1" ht="24.95" customHeight="1">
      <c r="A36" s="6"/>
      <c r="B36" s="484"/>
      <c r="C36" s="475"/>
      <c r="D36" s="475"/>
      <c r="E36" s="475"/>
      <c r="F36" s="475"/>
      <c r="G36" s="487"/>
      <c r="H36" s="490"/>
      <c r="I36" s="508"/>
      <c r="J36" s="524"/>
      <c r="K36" s="514"/>
      <c r="L36" s="524"/>
      <c r="M36" s="514"/>
      <c r="N36" s="496"/>
      <c r="O36" s="496"/>
      <c r="P36" s="511"/>
      <c r="Q36" s="502"/>
      <c r="R36" s="502"/>
      <c r="S36" s="505"/>
      <c r="T36" s="527"/>
      <c r="W36" s="19"/>
      <c r="X36" s="19"/>
      <c r="Y36" s="19"/>
      <c r="Z36" s="19"/>
      <c r="AA36" s="19"/>
      <c r="AB36" s="19"/>
      <c r="AC36" s="19"/>
    </row>
    <row r="37" spans="1:29" s="3" customFormat="1" ht="24.95" customHeight="1">
      <c r="A37" s="6"/>
      <c r="B37" s="485"/>
      <c r="C37" s="476"/>
      <c r="D37" s="476"/>
      <c r="E37" s="476"/>
      <c r="F37" s="476"/>
      <c r="G37" s="488"/>
      <c r="H37" s="491"/>
      <c r="I37" s="509"/>
      <c r="J37" s="525"/>
      <c r="K37" s="515"/>
      <c r="L37" s="525"/>
      <c r="M37" s="515"/>
      <c r="N37" s="497"/>
      <c r="O37" s="497"/>
      <c r="P37" s="512"/>
      <c r="Q37" s="503"/>
      <c r="R37" s="503"/>
      <c r="S37" s="506"/>
      <c r="T37" s="527"/>
      <c r="W37" s="19"/>
      <c r="X37" s="19"/>
      <c r="Y37" s="19"/>
      <c r="Z37" s="19"/>
      <c r="AA37" s="19"/>
      <c r="AB37" s="19"/>
      <c r="AC37" s="19"/>
    </row>
    <row r="38" spans="1:29" s="3" customFormat="1" ht="24.95" customHeight="1">
      <c r="A38" s="6"/>
      <c r="B38" s="483">
        <v>3</v>
      </c>
      <c r="C38" s="477">
        <v>293</v>
      </c>
      <c r="D38" s="477">
        <v>214</v>
      </c>
      <c r="E38" s="477" t="s">
        <v>229</v>
      </c>
      <c r="F38" s="477" t="s">
        <v>231</v>
      </c>
      <c r="G38" s="480">
        <v>426.3</v>
      </c>
      <c r="H38" s="489" t="s">
        <v>219</v>
      </c>
      <c r="I38" s="492">
        <v>1</v>
      </c>
      <c r="J38" s="523" t="s">
        <v>220</v>
      </c>
      <c r="K38" s="513">
        <v>411048</v>
      </c>
      <c r="L38" s="523" t="s">
        <v>220</v>
      </c>
      <c r="M38" s="513">
        <v>411049</v>
      </c>
      <c r="N38" s="495" t="s">
        <v>221</v>
      </c>
      <c r="O38" s="495" t="s">
        <v>222</v>
      </c>
      <c r="P38" s="498"/>
      <c r="Q38" s="501" t="s">
        <v>223</v>
      </c>
      <c r="R38" s="501" t="s">
        <v>224</v>
      </c>
      <c r="S38" s="504">
        <f t="shared" ref="S38" si="10">IF(COUNTIF(J38:M40,"CUMPLE")&gt;=1,(G38*I38),0)* (IF(N38="PRESENTÓ CERTIFICADO",1,0))* (IF(O38="ACORDE A ITEM 5.2.1 (T.R.)",1,0) )* ( IF(OR(Q38="SIN OBSERVACIÓN", Q38="REQUERIMIENTOS SUBSANADOS"),1,0)) *(IF(OR(R38="NINGUNO", R38="CUMPLEN CON LO SOLICITADO"),1,0))</f>
        <v>426.3</v>
      </c>
      <c r="T38" s="527"/>
      <c r="W38" s="19"/>
      <c r="X38" s="19"/>
      <c r="Y38" s="19"/>
      <c r="Z38" s="19"/>
      <c r="AA38" s="19"/>
      <c r="AB38" s="19"/>
      <c r="AC38" s="19"/>
    </row>
    <row r="39" spans="1:29" s="3" customFormat="1" ht="24.95" customHeight="1">
      <c r="A39" s="6"/>
      <c r="B39" s="484"/>
      <c r="C39" s="478"/>
      <c r="D39" s="478"/>
      <c r="E39" s="478"/>
      <c r="F39" s="478"/>
      <c r="G39" s="481"/>
      <c r="H39" s="490"/>
      <c r="I39" s="493"/>
      <c r="J39" s="524"/>
      <c r="K39" s="514"/>
      <c r="L39" s="524"/>
      <c r="M39" s="514"/>
      <c r="N39" s="496"/>
      <c r="O39" s="496"/>
      <c r="P39" s="499"/>
      <c r="Q39" s="502"/>
      <c r="R39" s="502"/>
      <c r="S39" s="505"/>
      <c r="T39" s="527"/>
      <c r="W39" s="19"/>
      <c r="X39" s="19"/>
      <c r="Y39" s="19"/>
      <c r="Z39" s="19"/>
      <c r="AA39" s="19"/>
      <c r="AB39" s="19"/>
      <c r="AC39" s="19"/>
    </row>
    <row r="40" spans="1:29" s="3" customFormat="1" ht="24.95" customHeight="1">
      <c r="A40" s="6"/>
      <c r="B40" s="485"/>
      <c r="C40" s="479"/>
      <c r="D40" s="479"/>
      <c r="E40" s="479"/>
      <c r="F40" s="479"/>
      <c r="G40" s="482"/>
      <c r="H40" s="491"/>
      <c r="I40" s="494"/>
      <c r="J40" s="525"/>
      <c r="K40" s="515"/>
      <c r="L40" s="525"/>
      <c r="M40" s="515"/>
      <c r="N40" s="497"/>
      <c r="O40" s="497"/>
      <c r="P40" s="500"/>
      <c r="Q40" s="503"/>
      <c r="R40" s="503"/>
      <c r="S40" s="506"/>
      <c r="T40" s="527"/>
      <c r="W40" s="19"/>
      <c r="X40" s="19"/>
      <c r="Y40" s="19"/>
      <c r="Z40" s="19"/>
      <c r="AA40" s="19"/>
      <c r="AB40" s="19"/>
      <c r="AC40" s="19"/>
    </row>
    <row r="41" spans="1:29" s="3" customFormat="1" ht="24.95" customHeight="1">
      <c r="A41" s="6"/>
      <c r="B41" s="483">
        <v>4</v>
      </c>
      <c r="C41" s="474">
        <v>323</v>
      </c>
      <c r="D41" s="474">
        <v>243</v>
      </c>
      <c r="E41" s="474" t="s">
        <v>230</v>
      </c>
      <c r="F41" s="474" t="s">
        <v>232</v>
      </c>
      <c r="G41" s="486">
        <v>1849.01</v>
      </c>
      <c r="H41" s="489" t="s">
        <v>219</v>
      </c>
      <c r="I41" s="507">
        <v>1</v>
      </c>
      <c r="J41" s="523" t="s">
        <v>220</v>
      </c>
      <c r="K41" s="513">
        <v>411048</v>
      </c>
      <c r="L41" s="523" t="s">
        <v>220</v>
      </c>
      <c r="M41" s="513">
        <v>411049</v>
      </c>
      <c r="N41" s="495" t="s">
        <v>221</v>
      </c>
      <c r="O41" s="495" t="s">
        <v>222</v>
      </c>
      <c r="P41" s="510"/>
      <c r="Q41" s="501" t="s">
        <v>223</v>
      </c>
      <c r="R41" s="501" t="s">
        <v>224</v>
      </c>
      <c r="S41" s="504">
        <f t="shared" ref="S41" si="11">IF(COUNTIF(J41:M43,"CUMPLE")&gt;=1,(G41*I41),0)* (IF(N41="PRESENTÓ CERTIFICADO",1,0))* (IF(O41="ACORDE A ITEM 5.2.1 (T.R.)",1,0) )* ( IF(OR(Q41="SIN OBSERVACIÓN", Q41="REQUERIMIENTOS SUBSANADOS"),1,0)) *(IF(OR(R41="NINGUNO", R41="CUMPLEN CON LO SOLICITADO"),1,0))</f>
        <v>1849.01</v>
      </c>
      <c r="T41" s="527"/>
      <c r="W41" s="19"/>
      <c r="X41" s="19"/>
      <c r="Y41" s="19"/>
      <c r="Z41" s="19"/>
      <c r="AA41" s="19"/>
      <c r="AB41" s="19"/>
      <c r="AC41" s="19"/>
    </row>
    <row r="42" spans="1:29" s="3" customFormat="1" ht="24.95" customHeight="1">
      <c r="A42" s="6"/>
      <c r="B42" s="484"/>
      <c r="C42" s="475"/>
      <c r="D42" s="475"/>
      <c r="E42" s="475"/>
      <c r="F42" s="475"/>
      <c r="G42" s="487"/>
      <c r="H42" s="490"/>
      <c r="I42" s="508"/>
      <c r="J42" s="524"/>
      <c r="K42" s="514"/>
      <c r="L42" s="524"/>
      <c r="M42" s="514"/>
      <c r="N42" s="496"/>
      <c r="O42" s="496"/>
      <c r="P42" s="511"/>
      <c r="Q42" s="502"/>
      <c r="R42" s="502"/>
      <c r="S42" s="505"/>
      <c r="T42" s="527"/>
      <c r="W42" s="19"/>
      <c r="X42" s="19"/>
      <c r="Y42" s="19"/>
      <c r="Z42" s="19"/>
      <c r="AA42" s="19"/>
      <c r="AB42" s="19"/>
      <c r="AC42" s="19"/>
    </row>
    <row r="43" spans="1:29" s="3" customFormat="1" ht="24.95" customHeight="1">
      <c r="A43" s="6"/>
      <c r="B43" s="485"/>
      <c r="C43" s="476"/>
      <c r="D43" s="476"/>
      <c r="E43" s="476"/>
      <c r="F43" s="476"/>
      <c r="G43" s="488"/>
      <c r="H43" s="491"/>
      <c r="I43" s="509"/>
      <c r="J43" s="525"/>
      <c r="K43" s="515"/>
      <c r="L43" s="525"/>
      <c r="M43" s="515"/>
      <c r="N43" s="497"/>
      <c r="O43" s="497"/>
      <c r="P43" s="512"/>
      <c r="Q43" s="503"/>
      <c r="R43" s="503"/>
      <c r="S43" s="506"/>
      <c r="T43" s="528"/>
      <c r="W43" s="19"/>
      <c r="X43" s="19"/>
      <c r="Y43" s="19"/>
      <c r="Z43" s="19"/>
      <c r="AA43" s="19"/>
      <c r="AB43" s="19"/>
      <c r="AC43" s="19"/>
    </row>
    <row r="44" spans="1:29" s="2" customFormat="1" ht="24.95" customHeight="1">
      <c r="B44" s="545" t="str">
        <f>IF(S45=" "," ",IF(S45&gt;=$H$6,"CUMPLE CON LA EXPERIENCIA REQUERIDA","NO CUMPLE CON LA EXPERIENCIA REQUERIDA"))</f>
        <v>CUMPLE CON LA EXPERIENCIA REQUERIDA</v>
      </c>
      <c r="C44" s="546"/>
      <c r="D44" s="546"/>
      <c r="E44" s="546"/>
      <c r="F44" s="546"/>
      <c r="G44" s="546"/>
      <c r="H44" s="546"/>
      <c r="I44" s="546"/>
      <c r="J44" s="546"/>
      <c r="K44" s="546"/>
      <c r="L44" s="546"/>
      <c r="M44" s="546"/>
      <c r="N44" s="546"/>
      <c r="O44" s="547"/>
      <c r="P44" s="543" t="s">
        <v>22</v>
      </c>
      <c r="Q44" s="572"/>
      <c r="R44" s="544"/>
      <c r="S44" s="167">
        <f>IF(T32="SI",SUM(S32:S43),0)</f>
        <v>3762.31</v>
      </c>
      <c r="T44" s="521" t="str">
        <f>IF(S45=" "," ",IF(S45&gt;=$H$6,"CUMPLE","NO CUMPLE"))</f>
        <v>CUMPLE</v>
      </c>
      <c r="W44" s="19"/>
      <c r="X44" s="19"/>
      <c r="Y44" s="19"/>
      <c r="Z44" s="19"/>
    </row>
    <row r="45" spans="1:29" s="3" customFormat="1" ht="24.95" customHeight="1">
      <c r="B45" s="548"/>
      <c r="C45" s="549"/>
      <c r="D45" s="549"/>
      <c r="E45" s="549"/>
      <c r="F45" s="549"/>
      <c r="G45" s="549"/>
      <c r="H45" s="549"/>
      <c r="I45" s="549"/>
      <c r="J45" s="549"/>
      <c r="K45" s="549"/>
      <c r="L45" s="549"/>
      <c r="M45" s="549"/>
      <c r="N45" s="549"/>
      <c r="O45" s="550"/>
      <c r="P45" s="543" t="s">
        <v>24</v>
      </c>
      <c r="Q45" s="572"/>
      <c r="R45" s="544"/>
      <c r="S45" s="168">
        <f>IFERROR((S44/$P$6)," ")</f>
        <v>3.7660760760760761</v>
      </c>
      <c r="T45" s="522"/>
      <c r="W45" s="19"/>
      <c r="X45" s="19"/>
      <c r="Y45" s="19"/>
      <c r="Z45" s="19"/>
    </row>
    <row r="46" spans="1:29" ht="30" customHeight="1">
      <c r="B46" s="158"/>
      <c r="C46" s="145"/>
      <c r="D46" s="145"/>
      <c r="E46" s="159"/>
      <c r="F46" s="160"/>
      <c r="G46" s="160"/>
      <c r="H46" s="145"/>
      <c r="I46" s="145"/>
      <c r="J46" s="145"/>
      <c r="K46" s="145"/>
      <c r="L46" s="145"/>
      <c r="M46" s="145"/>
      <c r="N46" s="145"/>
      <c r="O46" s="145"/>
      <c r="P46" s="145"/>
      <c r="Q46" s="145"/>
      <c r="R46" s="145"/>
      <c r="S46" s="145"/>
      <c r="T46" s="145"/>
    </row>
    <row r="47" spans="1:29" ht="30" customHeight="1">
      <c r="B47" s="158"/>
      <c r="C47" s="145"/>
      <c r="D47" s="145"/>
      <c r="E47" s="159"/>
      <c r="F47" s="160"/>
      <c r="G47" s="160"/>
      <c r="H47" s="145"/>
      <c r="I47" s="145"/>
      <c r="J47" s="145"/>
      <c r="K47" s="145"/>
      <c r="L47" s="145"/>
      <c r="M47" s="145"/>
      <c r="N47" s="145"/>
      <c r="O47" s="145"/>
      <c r="P47" s="145"/>
      <c r="Q47" s="145"/>
      <c r="R47" s="145"/>
      <c r="S47" s="145"/>
      <c r="T47" s="145"/>
    </row>
    <row r="48" spans="1:29" ht="36" customHeight="1">
      <c r="B48" s="161">
        <v>3</v>
      </c>
      <c r="C48" s="559" t="s">
        <v>81</v>
      </c>
      <c r="D48" s="560"/>
      <c r="E48" s="561"/>
      <c r="F48" s="562" t="str">
        <f>IFERROR(VLOOKUP(B48,LISTA_OFERENTES,2,FALSE)," ")</f>
        <v>Avantika Colombia S.A.S</v>
      </c>
      <c r="G48" s="563"/>
      <c r="H48" s="563"/>
      <c r="I48" s="563"/>
      <c r="J48" s="563"/>
      <c r="K48" s="563"/>
      <c r="L48" s="563"/>
      <c r="M48" s="563"/>
      <c r="N48" s="563"/>
      <c r="O48" s="564"/>
      <c r="P48" s="565" t="s">
        <v>114</v>
      </c>
      <c r="Q48" s="566"/>
      <c r="R48" s="567"/>
      <c r="S48" s="162">
        <f>5-(INT(COUNTBLANK(C51:C62))-7)</f>
        <v>3</v>
      </c>
      <c r="T48" s="163"/>
    </row>
    <row r="49" spans="1:29" s="4" customFormat="1" ht="30" customHeight="1">
      <c r="B49" s="532" t="s">
        <v>47</v>
      </c>
      <c r="C49" s="516" t="s">
        <v>15</v>
      </c>
      <c r="D49" s="516" t="s">
        <v>16</v>
      </c>
      <c r="E49" s="516" t="s">
        <v>17</v>
      </c>
      <c r="F49" s="516" t="s">
        <v>18</v>
      </c>
      <c r="G49" s="516" t="s">
        <v>19</v>
      </c>
      <c r="H49" s="516" t="s">
        <v>20</v>
      </c>
      <c r="I49" s="516" t="s">
        <v>21</v>
      </c>
      <c r="J49" s="529" t="s">
        <v>54</v>
      </c>
      <c r="K49" s="530"/>
      <c r="L49" s="530"/>
      <c r="M49" s="531"/>
      <c r="N49" s="516" t="s">
        <v>82</v>
      </c>
      <c r="O49" s="516" t="s">
        <v>83</v>
      </c>
      <c r="P49" s="170" t="s">
        <v>84</v>
      </c>
      <c r="Q49" s="170"/>
      <c r="R49" s="516" t="s">
        <v>85</v>
      </c>
      <c r="S49" s="516" t="s">
        <v>86</v>
      </c>
      <c r="T49" s="516" t="str">
        <f>T11</f>
        <v>CUMPLE CON EL REQUERIMIENTO OBLIGATORIO DE ESTAR CLASIFICADO EN UNO DE LOS CÓDIGOS?</v>
      </c>
      <c r="U49" s="5"/>
      <c r="V49" s="5"/>
      <c r="W49" s="19"/>
      <c r="X49" s="19"/>
      <c r="Y49" s="19"/>
      <c r="Z49" s="19"/>
      <c r="AA49" s="19"/>
      <c r="AB49" s="19"/>
      <c r="AC49" s="19"/>
    </row>
    <row r="50" spans="1:29" s="4" customFormat="1" ht="51" customHeight="1">
      <c r="B50" s="533"/>
      <c r="C50" s="517"/>
      <c r="D50" s="517"/>
      <c r="E50" s="517"/>
      <c r="F50" s="517"/>
      <c r="G50" s="517"/>
      <c r="H50" s="517"/>
      <c r="I50" s="517"/>
      <c r="J50" s="518" t="s">
        <v>88</v>
      </c>
      <c r="K50" s="519"/>
      <c r="L50" s="519"/>
      <c r="M50" s="520"/>
      <c r="N50" s="517"/>
      <c r="O50" s="517"/>
      <c r="P50" s="165" t="s">
        <v>13</v>
      </c>
      <c r="Q50" s="165" t="s">
        <v>87</v>
      </c>
      <c r="R50" s="517"/>
      <c r="S50" s="517"/>
      <c r="T50" s="517"/>
      <c r="U50" s="5"/>
      <c r="V50" s="5"/>
      <c r="W50" s="19"/>
      <c r="X50" s="19"/>
      <c r="Y50" s="19"/>
      <c r="Z50" s="19"/>
      <c r="AA50" s="19"/>
      <c r="AB50" s="19"/>
      <c r="AC50" s="19"/>
    </row>
    <row r="51" spans="1:29" s="3" customFormat="1" ht="24.95" customHeight="1">
      <c r="A51" s="6"/>
      <c r="B51" s="483">
        <v>1</v>
      </c>
      <c r="C51" s="477">
        <v>11</v>
      </c>
      <c r="D51" s="477">
        <v>35</v>
      </c>
      <c r="E51" s="477" t="s">
        <v>236</v>
      </c>
      <c r="F51" s="477" t="s">
        <v>234</v>
      </c>
      <c r="G51" s="480">
        <v>1427.23</v>
      </c>
      <c r="H51" s="489" t="s">
        <v>219</v>
      </c>
      <c r="I51" s="492">
        <v>1</v>
      </c>
      <c r="J51" s="523" t="s">
        <v>220</v>
      </c>
      <c r="K51" s="513">
        <v>411048</v>
      </c>
      <c r="L51" s="523" t="s">
        <v>220</v>
      </c>
      <c r="M51" s="513">
        <v>411049</v>
      </c>
      <c r="N51" s="495" t="s">
        <v>221</v>
      </c>
      <c r="O51" s="495" t="s">
        <v>222</v>
      </c>
      <c r="P51" s="498"/>
      <c r="Q51" s="534" t="s">
        <v>223</v>
      </c>
      <c r="R51" s="534" t="s">
        <v>224</v>
      </c>
      <c r="S51" s="504">
        <f>IF(COUNTIF(J51:M53,"CUMPLE")&gt;=1,(G51*I51),0)* (IF(N51="PRESENTÓ CERTIFICADO",1,0))* (IF(O51="ACORDE A ITEM 5.2.1 (T.R.)",1,0) )* ( IF(OR(Q51="SIN OBSERVACIÓN", Q51="REQUERIMIENTOS SUBSANADOS"),1,0)) *(IF(OR(R51="NINGUNO", R51="CUMPLEN CON LO SOLICITADO"),1,0))</f>
        <v>1427.23</v>
      </c>
      <c r="T51" s="526" t="s">
        <v>225</v>
      </c>
      <c r="W51" s="19"/>
      <c r="X51" s="19"/>
      <c r="Y51" s="19"/>
      <c r="Z51" s="19"/>
      <c r="AA51" s="19"/>
      <c r="AB51" s="19"/>
      <c r="AC51" s="19"/>
    </row>
    <row r="52" spans="1:29" s="3" customFormat="1" ht="24.95" customHeight="1">
      <c r="A52" s="6"/>
      <c r="B52" s="484"/>
      <c r="C52" s="478"/>
      <c r="D52" s="478"/>
      <c r="E52" s="478"/>
      <c r="F52" s="478"/>
      <c r="G52" s="481"/>
      <c r="H52" s="490"/>
      <c r="I52" s="493"/>
      <c r="J52" s="524"/>
      <c r="K52" s="514"/>
      <c r="L52" s="524"/>
      <c r="M52" s="514"/>
      <c r="N52" s="496"/>
      <c r="O52" s="496"/>
      <c r="P52" s="499"/>
      <c r="Q52" s="535"/>
      <c r="R52" s="535"/>
      <c r="S52" s="505"/>
      <c r="T52" s="527"/>
      <c r="W52" s="19"/>
      <c r="X52" s="19"/>
      <c r="Y52" s="19"/>
      <c r="Z52" s="19"/>
      <c r="AA52" s="19"/>
      <c r="AB52" s="19"/>
      <c r="AC52" s="19"/>
    </row>
    <row r="53" spans="1:29" s="3" customFormat="1" ht="24.95" customHeight="1">
      <c r="A53" s="6"/>
      <c r="B53" s="485"/>
      <c r="C53" s="479"/>
      <c r="D53" s="479"/>
      <c r="E53" s="479"/>
      <c r="F53" s="479"/>
      <c r="G53" s="482"/>
      <c r="H53" s="491"/>
      <c r="I53" s="494"/>
      <c r="J53" s="525"/>
      <c r="K53" s="515"/>
      <c r="L53" s="525"/>
      <c r="M53" s="515"/>
      <c r="N53" s="497"/>
      <c r="O53" s="497"/>
      <c r="P53" s="500"/>
      <c r="Q53" s="536"/>
      <c r="R53" s="536"/>
      <c r="S53" s="506"/>
      <c r="T53" s="527"/>
      <c r="W53" s="19"/>
      <c r="X53" s="19"/>
      <c r="Y53" s="19"/>
      <c r="Z53" s="19"/>
      <c r="AA53" s="19"/>
      <c r="AB53" s="19"/>
      <c r="AC53" s="19"/>
    </row>
    <row r="54" spans="1:29" s="3" customFormat="1" ht="24.95" customHeight="1">
      <c r="A54" s="6"/>
      <c r="B54" s="483">
        <v>2</v>
      </c>
      <c r="C54" s="474">
        <v>5</v>
      </c>
      <c r="D54" s="474">
        <v>32</v>
      </c>
      <c r="E54" s="474" t="s">
        <v>233</v>
      </c>
      <c r="F54" s="474" t="s">
        <v>243</v>
      </c>
      <c r="G54" s="486">
        <v>2063.23</v>
      </c>
      <c r="H54" s="489" t="s">
        <v>219</v>
      </c>
      <c r="I54" s="507">
        <v>1</v>
      </c>
      <c r="J54" s="523" t="s">
        <v>220</v>
      </c>
      <c r="K54" s="513">
        <v>411048</v>
      </c>
      <c r="L54" s="523" t="s">
        <v>220</v>
      </c>
      <c r="M54" s="513">
        <v>411049</v>
      </c>
      <c r="N54" s="495" t="s">
        <v>221</v>
      </c>
      <c r="O54" s="495" t="s">
        <v>222</v>
      </c>
      <c r="P54" s="569"/>
      <c r="Q54" s="501" t="s">
        <v>223</v>
      </c>
      <c r="R54" s="501" t="s">
        <v>224</v>
      </c>
      <c r="S54" s="504">
        <f>IF(COUNTIF(J54:M56,"CUMPLE")&gt;=1,(G54*I54),0)* (IF(N54="PRESENTÓ CERTIFICADO",1,0))* (IF(O54="ACORDE A ITEM 5.2.1 (T.R.)",1,0) )* ( IF(OR(Q54="SIN OBSERVACIÓN", Q54="REQUERIMIENTOS SUBSANADOS"),1,0)) *(IF(OR(R54="NINGUNO", R54="CUMPLEN CON LO SOLICITADO"),1,0))</f>
        <v>2063.23</v>
      </c>
      <c r="T54" s="527"/>
      <c r="W54" s="19"/>
      <c r="X54" s="19"/>
      <c r="Y54" s="19"/>
      <c r="Z54" s="19"/>
      <c r="AA54" s="19"/>
      <c r="AB54" s="19"/>
      <c r="AC54" s="19"/>
    </row>
    <row r="55" spans="1:29" s="3" customFormat="1" ht="24.95" customHeight="1">
      <c r="A55" s="6"/>
      <c r="B55" s="484"/>
      <c r="C55" s="475"/>
      <c r="D55" s="475"/>
      <c r="E55" s="475"/>
      <c r="F55" s="475"/>
      <c r="G55" s="487"/>
      <c r="H55" s="490"/>
      <c r="I55" s="508"/>
      <c r="J55" s="524"/>
      <c r="K55" s="514"/>
      <c r="L55" s="524"/>
      <c r="M55" s="514"/>
      <c r="N55" s="496"/>
      <c r="O55" s="496"/>
      <c r="P55" s="570"/>
      <c r="Q55" s="502"/>
      <c r="R55" s="502"/>
      <c r="S55" s="505"/>
      <c r="T55" s="527"/>
      <c r="W55" s="19"/>
      <c r="X55" s="19"/>
      <c r="Y55" s="19"/>
      <c r="Z55" s="19"/>
      <c r="AA55" s="19"/>
      <c r="AB55" s="19"/>
      <c r="AC55" s="19"/>
    </row>
    <row r="56" spans="1:29" s="3" customFormat="1" ht="24.95" customHeight="1">
      <c r="A56" s="6"/>
      <c r="B56" s="485"/>
      <c r="C56" s="476"/>
      <c r="D56" s="476"/>
      <c r="E56" s="476"/>
      <c r="F56" s="476"/>
      <c r="G56" s="488"/>
      <c r="H56" s="491"/>
      <c r="I56" s="509"/>
      <c r="J56" s="525"/>
      <c r="K56" s="515"/>
      <c r="L56" s="525"/>
      <c r="M56" s="515"/>
      <c r="N56" s="497"/>
      <c r="O56" s="497"/>
      <c r="P56" s="571"/>
      <c r="Q56" s="503"/>
      <c r="R56" s="503"/>
      <c r="S56" s="506"/>
      <c r="T56" s="527"/>
      <c r="W56" s="19"/>
      <c r="X56" s="19"/>
      <c r="Y56" s="19"/>
      <c r="Z56" s="19"/>
      <c r="AA56" s="19"/>
      <c r="AB56" s="19"/>
      <c r="AC56" s="19"/>
    </row>
    <row r="57" spans="1:29" s="3" customFormat="1" ht="24.95" customHeight="1">
      <c r="A57" s="6"/>
      <c r="B57" s="483">
        <v>3</v>
      </c>
      <c r="C57" s="477">
        <v>161</v>
      </c>
      <c r="D57" s="477">
        <v>173</v>
      </c>
      <c r="E57" s="477">
        <v>2170540</v>
      </c>
      <c r="F57" s="477" t="s">
        <v>235</v>
      </c>
      <c r="G57" s="480">
        <v>510.11</v>
      </c>
      <c r="H57" s="489" t="s">
        <v>219</v>
      </c>
      <c r="I57" s="492">
        <v>1</v>
      </c>
      <c r="J57" s="523" t="s">
        <v>220</v>
      </c>
      <c r="K57" s="513">
        <v>411048</v>
      </c>
      <c r="L57" s="523" t="s">
        <v>220</v>
      </c>
      <c r="M57" s="513">
        <v>411049</v>
      </c>
      <c r="N57" s="495" t="s">
        <v>221</v>
      </c>
      <c r="O57" s="495" t="s">
        <v>222</v>
      </c>
      <c r="P57" s="498"/>
      <c r="Q57" s="501" t="s">
        <v>223</v>
      </c>
      <c r="R57" s="501" t="s">
        <v>224</v>
      </c>
      <c r="S57" s="504">
        <f t="shared" ref="S57" si="12">IF(COUNTIF(J57:M59,"CUMPLE")&gt;=1,(G57*I57),0)* (IF(N57="PRESENTÓ CERTIFICADO",1,0))* (IF(O57="ACORDE A ITEM 5.2.1 (T.R.)",1,0) )* ( IF(OR(Q57="SIN OBSERVACIÓN", Q57="REQUERIMIENTOS SUBSANADOS"),1,0)) *(IF(OR(R57="NINGUNO", R57="CUMPLEN CON LO SOLICITADO"),1,0))</f>
        <v>510.11</v>
      </c>
      <c r="T57" s="527"/>
      <c r="W57" s="19"/>
      <c r="X57" s="19"/>
      <c r="Y57" s="19"/>
      <c r="Z57" s="19"/>
      <c r="AA57" s="19"/>
      <c r="AB57" s="19"/>
      <c r="AC57" s="19"/>
    </row>
    <row r="58" spans="1:29" s="3" customFormat="1" ht="24.95" customHeight="1">
      <c r="A58" s="6"/>
      <c r="B58" s="484"/>
      <c r="C58" s="478"/>
      <c r="D58" s="478"/>
      <c r="E58" s="478"/>
      <c r="F58" s="478"/>
      <c r="G58" s="481"/>
      <c r="H58" s="490"/>
      <c r="I58" s="493"/>
      <c r="J58" s="524"/>
      <c r="K58" s="514"/>
      <c r="L58" s="524"/>
      <c r="M58" s="514"/>
      <c r="N58" s="496"/>
      <c r="O58" s="496"/>
      <c r="P58" s="499"/>
      <c r="Q58" s="502"/>
      <c r="R58" s="502"/>
      <c r="S58" s="505"/>
      <c r="T58" s="527"/>
      <c r="W58" s="19"/>
      <c r="X58" s="19"/>
      <c r="Y58" s="19"/>
      <c r="Z58" s="19"/>
      <c r="AA58" s="19"/>
      <c r="AB58" s="19"/>
      <c r="AC58" s="19"/>
    </row>
    <row r="59" spans="1:29" s="3" customFormat="1" ht="24.95" customHeight="1">
      <c r="A59" s="6"/>
      <c r="B59" s="485"/>
      <c r="C59" s="479"/>
      <c r="D59" s="479"/>
      <c r="E59" s="479"/>
      <c r="F59" s="479"/>
      <c r="G59" s="482"/>
      <c r="H59" s="491"/>
      <c r="I59" s="494"/>
      <c r="J59" s="525"/>
      <c r="K59" s="515"/>
      <c r="L59" s="525"/>
      <c r="M59" s="515"/>
      <c r="N59" s="497"/>
      <c r="O59" s="497"/>
      <c r="P59" s="500"/>
      <c r="Q59" s="503"/>
      <c r="R59" s="503"/>
      <c r="S59" s="506"/>
      <c r="T59" s="527"/>
      <c r="W59" s="19"/>
      <c r="X59" s="19"/>
      <c r="Y59" s="19"/>
      <c r="Z59" s="19"/>
      <c r="AA59" s="19"/>
      <c r="AB59" s="19"/>
      <c r="AC59" s="19"/>
    </row>
    <row r="60" spans="1:29" s="3" customFormat="1" ht="24.95" customHeight="1">
      <c r="A60" s="6"/>
      <c r="B60" s="483">
        <v>4</v>
      </c>
      <c r="C60" s="474"/>
      <c r="D60" s="474"/>
      <c r="E60" s="474"/>
      <c r="F60" s="474"/>
      <c r="G60" s="486"/>
      <c r="H60" s="489"/>
      <c r="I60" s="507"/>
      <c r="J60" s="523"/>
      <c r="K60" s="513">
        <v>411048</v>
      </c>
      <c r="L60" s="523"/>
      <c r="M60" s="513">
        <v>411049</v>
      </c>
      <c r="N60" s="495"/>
      <c r="O60" s="495"/>
      <c r="P60" s="510"/>
      <c r="Q60" s="501"/>
      <c r="R60" s="501"/>
      <c r="S60" s="504">
        <f t="shared" ref="S60" si="13">IF(COUNTIF(J60:M62,"CUMPLE")&gt;=1,(G60*I60),0)* (IF(N60="PRESENTÓ CERTIFICADO",1,0))* (IF(O60="ACORDE A ITEM 5.2.1 (T.R.)",1,0) )* ( IF(OR(Q60="SIN OBSERVACIÓN", Q60="REQUERIMIENTOS SUBSANADOS"),1,0)) *(IF(OR(R60="NINGUNO", R60="CUMPLEN CON LO SOLICITADO"),1,0))</f>
        <v>0</v>
      </c>
      <c r="T60" s="527"/>
      <c r="W60" s="19"/>
      <c r="X60" s="19"/>
      <c r="Y60" s="19"/>
      <c r="Z60" s="19"/>
      <c r="AA60" s="19"/>
      <c r="AB60" s="19"/>
      <c r="AC60" s="19"/>
    </row>
    <row r="61" spans="1:29" s="3" customFormat="1" ht="24.95" customHeight="1">
      <c r="A61" s="6"/>
      <c r="B61" s="484"/>
      <c r="C61" s="475"/>
      <c r="D61" s="475"/>
      <c r="E61" s="475"/>
      <c r="F61" s="475"/>
      <c r="G61" s="487"/>
      <c r="H61" s="490"/>
      <c r="I61" s="508"/>
      <c r="J61" s="524"/>
      <c r="K61" s="514"/>
      <c r="L61" s="524"/>
      <c r="M61" s="514"/>
      <c r="N61" s="496"/>
      <c r="O61" s="496"/>
      <c r="P61" s="511"/>
      <c r="Q61" s="502"/>
      <c r="R61" s="502"/>
      <c r="S61" s="505"/>
      <c r="T61" s="527"/>
      <c r="W61" s="19"/>
      <c r="X61" s="19"/>
      <c r="Y61" s="19"/>
      <c r="Z61" s="19"/>
      <c r="AA61" s="19"/>
      <c r="AB61" s="19"/>
      <c r="AC61" s="19"/>
    </row>
    <row r="62" spans="1:29" s="3" customFormat="1" ht="24.95" customHeight="1">
      <c r="A62" s="6"/>
      <c r="B62" s="485"/>
      <c r="C62" s="476"/>
      <c r="D62" s="476"/>
      <c r="E62" s="476"/>
      <c r="F62" s="476"/>
      <c r="G62" s="488"/>
      <c r="H62" s="491"/>
      <c r="I62" s="509"/>
      <c r="J62" s="525"/>
      <c r="K62" s="515"/>
      <c r="L62" s="525"/>
      <c r="M62" s="515"/>
      <c r="N62" s="497"/>
      <c r="O62" s="497"/>
      <c r="P62" s="512"/>
      <c r="Q62" s="503"/>
      <c r="R62" s="503"/>
      <c r="S62" s="506"/>
      <c r="T62" s="528"/>
      <c r="W62" s="19"/>
      <c r="X62" s="19"/>
      <c r="Y62" s="19"/>
      <c r="Z62" s="19"/>
      <c r="AA62" s="19"/>
      <c r="AB62" s="19"/>
      <c r="AC62" s="19"/>
    </row>
    <row r="63" spans="1:29" s="2" customFormat="1" ht="24.95" customHeight="1">
      <c r="B63" s="545" t="str">
        <f>IF(S64=" "," ",IF(S64&gt;=$H$6,"CUMPLE CON LA EXPERIENCIA REQUERIDA","NO CUMPLE CON LA EXPERIENCIA REQUERIDA"))</f>
        <v>CUMPLE CON LA EXPERIENCIA REQUERIDA</v>
      </c>
      <c r="C63" s="546"/>
      <c r="D63" s="546"/>
      <c r="E63" s="546"/>
      <c r="F63" s="546"/>
      <c r="G63" s="546"/>
      <c r="H63" s="546"/>
      <c r="I63" s="546"/>
      <c r="J63" s="546"/>
      <c r="K63" s="546"/>
      <c r="L63" s="546"/>
      <c r="M63" s="546"/>
      <c r="N63" s="546"/>
      <c r="O63" s="547"/>
      <c r="P63" s="543" t="s">
        <v>22</v>
      </c>
      <c r="Q63" s="572"/>
      <c r="R63" s="544"/>
      <c r="S63" s="167">
        <f>IF(T51="SI",SUM(S51:S62),0)</f>
        <v>4000.57</v>
      </c>
      <c r="T63" s="521" t="str">
        <f>IF(S64=" "," ",IF(S64&gt;=$H$6,"CUMPLE","NO CUMPLE"))</f>
        <v>CUMPLE</v>
      </c>
      <c r="W63" s="19"/>
      <c r="X63" s="19"/>
      <c r="Y63" s="19"/>
      <c r="Z63" s="19"/>
    </row>
    <row r="64" spans="1:29" s="3" customFormat="1" ht="24.95" customHeight="1">
      <c r="B64" s="548"/>
      <c r="C64" s="549"/>
      <c r="D64" s="549"/>
      <c r="E64" s="549"/>
      <c r="F64" s="549"/>
      <c r="G64" s="549"/>
      <c r="H64" s="549"/>
      <c r="I64" s="549"/>
      <c r="J64" s="549"/>
      <c r="K64" s="549"/>
      <c r="L64" s="549"/>
      <c r="M64" s="549"/>
      <c r="N64" s="549"/>
      <c r="O64" s="550"/>
      <c r="P64" s="543" t="s">
        <v>24</v>
      </c>
      <c r="Q64" s="572"/>
      <c r="R64" s="544"/>
      <c r="S64" s="168">
        <f>IFERROR((S63/$P$6)," ")</f>
        <v>4.0045745745745744</v>
      </c>
      <c r="T64" s="522"/>
      <c r="W64" s="19"/>
      <c r="X64" s="19"/>
      <c r="Y64" s="19"/>
      <c r="Z64" s="19"/>
    </row>
    <row r="65" spans="2:20" ht="30" customHeight="1">
      <c r="B65" s="158"/>
      <c r="C65" s="145"/>
      <c r="D65" s="145"/>
      <c r="E65" s="159"/>
      <c r="F65" s="160"/>
      <c r="G65" s="160"/>
      <c r="H65" s="145"/>
      <c r="I65" s="145"/>
      <c r="J65" s="145"/>
      <c r="K65" s="145"/>
      <c r="L65" s="145"/>
      <c r="M65" s="145"/>
      <c r="N65" s="145"/>
      <c r="O65" s="145"/>
      <c r="P65" s="145"/>
      <c r="Q65" s="145"/>
      <c r="R65" s="145"/>
      <c r="S65" s="145"/>
      <c r="T65" s="145"/>
    </row>
  </sheetData>
  <sheetProtection algorithmName="SHA-512" hashValue="QhA/XeuQ3oy5I73/Kl8lPri8qB3wnsUbmkc8L/bgOyeK3B8wLaE7ADlru+r+OFArlsMFPQnYK4kStLlaJgfdgw==" saltValue="Eu0xmOt2ixD9ULqqQCdRvw==" spinCount="100000" sheet="1" objects="1" scenarios="1"/>
  <mergeCells count="295">
    <mergeCell ref="T13:T24"/>
    <mergeCell ref="T51:T62"/>
    <mergeCell ref="P63:R63"/>
    <mergeCell ref="P64:R64"/>
    <mergeCell ref="AI13:AI14"/>
    <mergeCell ref="P44:R44"/>
    <mergeCell ref="P45:R45"/>
    <mergeCell ref="M35:M37"/>
    <mergeCell ref="L38:L40"/>
    <mergeCell ref="R13:R15"/>
    <mergeCell ref="S13:S15"/>
    <mergeCell ref="R30:R31"/>
    <mergeCell ref="P13:P15"/>
    <mergeCell ref="S30:S31"/>
    <mergeCell ref="S38:S40"/>
    <mergeCell ref="Q38:Q40"/>
    <mergeCell ref="R38:R40"/>
    <mergeCell ref="M38:M40"/>
    <mergeCell ref="R49:R50"/>
    <mergeCell ref="S19:S21"/>
    <mergeCell ref="N35:N37"/>
    <mergeCell ref="L54:L56"/>
    <mergeCell ref="M54:M56"/>
    <mergeCell ref="L57:L59"/>
    <mergeCell ref="J13:J15"/>
    <mergeCell ref="K13:K15"/>
    <mergeCell ref="L13:L15"/>
    <mergeCell ref="M13:M15"/>
    <mergeCell ref="J16:J18"/>
    <mergeCell ref="K16:K18"/>
    <mergeCell ref="L16:L18"/>
    <mergeCell ref="M16:M18"/>
    <mergeCell ref="J19:J21"/>
    <mergeCell ref="K19:K21"/>
    <mergeCell ref="L19:L21"/>
    <mergeCell ref="M19:M21"/>
    <mergeCell ref="B3:T3"/>
    <mergeCell ref="B63:O64"/>
    <mergeCell ref="S54:S56"/>
    <mergeCell ref="B57:B59"/>
    <mergeCell ref="C57:C59"/>
    <mergeCell ref="F32:F34"/>
    <mergeCell ref="G32:G34"/>
    <mergeCell ref="H32:H34"/>
    <mergeCell ref="I32:I34"/>
    <mergeCell ref="B54:B56"/>
    <mergeCell ref="C54:C56"/>
    <mergeCell ref="D54:D56"/>
    <mergeCell ref="E54:E56"/>
    <mergeCell ref="F54:F56"/>
    <mergeCell ref="G54:G56"/>
    <mergeCell ref="H54:H56"/>
    <mergeCell ref="I54:I56"/>
    <mergeCell ref="N54:N56"/>
    <mergeCell ref="O54:O56"/>
    <mergeCell ref="P54:P56"/>
    <mergeCell ref="Q54:Q56"/>
    <mergeCell ref="R54:R56"/>
    <mergeCell ref="B44:O45"/>
    <mergeCell ref="C49:C50"/>
    <mergeCell ref="G22:G24"/>
    <mergeCell ref="H22:H24"/>
    <mergeCell ref="I22:I24"/>
    <mergeCell ref="J31:M31"/>
    <mergeCell ref="R19:R21"/>
    <mergeCell ref="M32:M34"/>
    <mergeCell ref="J35:J37"/>
    <mergeCell ref="K35:K37"/>
    <mergeCell ref="Q22:Q24"/>
    <mergeCell ref="R22:R24"/>
    <mergeCell ref="J22:J24"/>
    <mergeCell ref="K22:K24"/>
    <mergeCell ref="L22:L24"/>
    <mergeCell ref="G19:G21"/>
    <mergeCell ref="H19:H21"/>
    <mergeCell ref="I19:I21"/>
    <mergeCell ref="P29:R29"/>
    <mergeCell ref="N19:N21"/>
    <mergeCell ref="O19:O21"/>
    <mergeCell ref="G30:G31"/>
    <mergeCell ref="H30:H31"/>
    <mergeCell ref="I30:I31"/>
    <mergeCell ref="J30:M30"/>
    <mergeCell ref="N30:N31"/>
    <mergeCell ref="C10:E10"/>
    <mergeCell ref="F10:O10"/>
    <mergeCell ref="P10:R10"/>
    <mergeCell ref="B13:B15"/>
    <mergeCell ref="B51:B53"/>
    <mergeCell ref="C51:C53"/>
    <mergeCell ref="D51:D53"/>
    <mergeCell ref="E51:E53"/>
    <mergeCell ref="F51:F53"/>
    <mergeCell ref="G51:G53"/>
    <mergeCell ref="H51:H53"/>
    <mergeCell ref="I51:I53"/>
    <mergeCell ref="N51:N53"/>
    <mergeCell ref="O51:O53"/>
    <mergeCell ref="P51:P53"/>
    <mergeCell ref="Q51:Q53"/>
    <mergeCell ref="R51:R53"/>
    <mergeCell ref="C48:E48"/>
    <mergeCell ref="F48:O48"/>
    <mergeCell ref="P48:R48"/>
    <mergeCell ref="B49:B50"/>
    <mergeCell ref="N22:N24"/>
    <mergeCell ref="O22:O24"/>
    <mergeCell ref="P22:P24"/>
    <mergeCell ref="C22:C24"/>
    <mergeCell ref="M22:M24"/>
    <mergeCell ref="B41:B43"/>
    <mergeCell ref="C41:C43"/>
    <mergeCell ref="B11:B12"/>
    <mergeCell ref="C11:C12"/>
    <mergeCell ref="D11:D12"/>
    <mergeCell ref="E11:E12"/>
    <mergeCell ref="F11:F12"/>
    <mergeCell ref="G11:G12"/>
    <mergeCell ref="H11:H12"/>
    <mergeCell ref="D22:D24"/>
    <mergeCell ref="E22:E24"/>
    <mergeCell ref="D16:D18"/>
    <mergeCell ref="E16:E18"/>
    <mergeCell ref="F16:F18"/>
    <mergeCell ref="D41:D43"/>
    <mergeCell ref="E41:E43"/>
    <mergeCell ref="C29:E29"/>
    <mergeCell ref="F29:O29"/>
    <mergeCell ref="B32:B34"/>
    <mergeCell ref="C32:C34"/>
    <mergeCell ref="O35:O37"/>
    <mergeCell ref="F22:F24"/>
    <mergeCell ref="B38:B40"/>
    <mergeCell ref="C38:C40"/>
    <mergeCell ref="B1:S1"/>
    <mergeCell ref="I11:I12"/>
    <mergeCell ref="J12:M12"/>
    <mergeCell ref="S11:S12"/>
    <mergeCell ref="R11:R12"/>
    <mergeCell ref="C13:C15"/>
    <mergeCell ref="D13:D15"/>
    <mergeCell ref="E13:E15"/>
    <mergeCell ref="F13:F15"/>
    <mergeCell ref="G13:G15"/>
    <mergeCell ref="H13:H15"/>
    <mergeCell ref="I13:I15"/>
    <mergeCell ref="Q13:Q15"/>
    <mergeCell ref="J11:M11"/>
    <mergeCell ref="N11:N12"/>
    <mergeCell ref="N13:N15"/>
    <mergeCell ref="F4:N4"/>
    <mergeCell ref="F5:G5"/>
    <mergeCell ref="L5:M6"/>
    <mergeCell ref="N5:O5"/>
    <mergeCell ref="S22:S24"/>
    <mergeCell ref="B22:B24"/>
    <mergeCell ref="F6:G6"/>
    <mergeCell ref="N6:O6"/>
    <mergeCell ref="O11:O12"/>
    <mergeCell ref="O13:O15"/>
    <mergeCell ref="W11:Y11"/>
    <mergeCell ref="T25:T26"/>
    <mergeCell ref="R16:R18"/>
    <mergeCell ref="S16:S18"/>
    <mergeCell ref="P25:Q25"/>
    <mergeCell ref="P26:Q26"/>
    <mergeCell ref="B25:O26"/>
    <mergeCell ref="H16:H18"/>
    <mergeCell ref="I16:I18"/>
    <mergeCell ref="N16:N18"/>
    <mergeCell ref="O16:O18"/>
    <mergeCell ref="P16:P18"/>
    <mergeCell ref="Q16:Q18"/>
    <mergeCell ref="P19:P21"/>
    <mergeCell ref="Q19:Q21"/>
    <mergeCell ref="B19:B21"/>
    <mergeCell ref="C19:C21"/>
    <mergeCell ref="D19:D21"/>
    <mergeCell ref="E19:E21"/>
    <mergeCell ref="F19:F21"/>
    <mergeCell ref="T11:T12"/>
    <mergeCell ref="G16:G18"/>
    <mergeCell ref="B16:B18"/>
    <mergeCell ref="C16:C18"/>
    <mergeCell ref="Q41:Q43"/>
    <mergeCell ref="R41:R43"/>
    <mergeCell ref="S41:S43"/>
    <mergeCell ref="F41:F43"/>
    <mergeCell ref="G41:G43"/>
    <mergeCell ref="H41:H43"/>
    <mergeCell ref="J41:J43"/>
    <mergeCell ref="K41:K43"/>
    <mergeCell ref="L41:L43"/>
    <mergeCell ref="M41:M43"/>
    <mergeCell ref="T30:T31"/>
    <mergeCell ref="N32:N34"/>
    <mergeCell ref="O32:O34"/>
    <mergeCell ref="P32:P34"/>
    <mergeCell ref="Q32:Q34"/>
    <mergeCell ref="R32:R34"/>
    <mergeCell ref="S32:S34"/>
    <mergeCell ref="B35:B37"/>
    <mergeCell ref="C35:C37"/>
    <mergeCell ref="D35:D37"/>
    <mergeCell ref="E35:E37"/>
    <mergeCell ref="F35:F37"/>
    <mergeCell ref="G35:G37"/>
    <mergeCell ref="H35:H37"/>
    <mergeCell ref="I35:I37"/>
    <mergeCell ref="Q35:Q37"/>
    <mergeCell ref="R35:R37"/>
    <mergeCell ref="L35:L37"/>
    <mergeCell ref="B30:B31"/>
    <mergeCell ref="C30:C31"/>
    <mergeCell ref="D32:D34"/>
    <mergeCell ref="E32:E34"/>
    <mergeCell ref="P35:P37"/>
    <mergeCell ref="D30:D31"/>
    <mergeCell ref="E30:E31"/>
    <mergeCell ref="F30:F31"/>
    <mergeCell ref="O30:O31"/>
    <mergeCell ref="S35:S37"/>
    <mergeCell ref="J32:J34"/>
    <mergeCell ref="K32:K34"/>
    <mergeCell ref="L32:L34"/>
    <mergeCell ref="I38:I40"/>
    <mergeCell ref="N38:N40"/>
    <mergeCell ref="O38:O40"/>
    <mergeCell ref="P38:P40"/>
    <mergeCell ref="D49:D50"/>
    <mergeCell ref="E49:E50"/>
    <mergeCell ref="F49:F50"/>
    <mergeCell ref="G49:G50"/>
    <mergeCell ref="H49:H50"/>
    <mergeCell ref="I49:I50"/>
    <mergeCell ref="J49:M49"/>
    <mergeCell ref="N49:N50"/>
    <mergeCell ref="O49:O50"/>
    <mergeCell ref="J38:J40"/>
    <mergeCell ref="D38:D40"/>
    <mergeCell ref="E38:E40"/>
    <mergeCell ref="F38:F40"/>
    <mergeCell ref="G38:G40"/>
    <mergeCell ref="H38:H40"/>
    <mergeCell ref="I41:I43"/>
    <mergeCell ref="N41:N43"/>
    <mergeCell ref="O41:O43"/>
    <mergeCell ref="P41:P43"/>
    <mergeCell ref="K38:K40"/>
    <mergeCell ref="S49:S50"/>
    <mergeCell ref="T49:T50"/>
    <mergeCell ref="J50:M50"/>
    <mergeCell ref="T44:T45"/>
    <mergeCell ref="T63:T64"/>
    <mergeCell ref="S51:S53"/>
    <mergeCell ref="J51:J53"/>
    <mergeCell ref="K51:K53"/>
    <mergeCell ref="L51:L53"/>
    <mergeCell ref="M51:M53"/>
    <mergeCell ref="T32:T43"/>
    <mergeCell ref="J54:J56"/>
    <mergeCell ref="K54:K56"/>
    <mergeCell ref="J57:J59"/>
    <mergeCell ref="K57:K59"/>
    <mergeCell ref="M57:M59"/>
    <mergeCell ref="J60:J62"/>
    <mergeCell ref="K60:K62"/>
    <mergeCell ref="L60:L62"/>
    <mergeCell ref="M60:M62"/>
    <mergeCell ref="H57:H59"/>
    <mergeCell ref="I57:I59"/>
    <mergeCell ref="N57:N59"/>
    <mergeCell ref="O57:O59"/>
    <mergeCell ref="P57:P59"/>
    <mergeCell ref="Q57:Q59"/>
    <mergeCell ref="R57:R59"/>
    <mergeCell ref="S57:S59"/>
    <mergeCell ref="R60:R62"/>
    <mergeCell ref="S60:S62"/>
    <mergeCell ref="H60:H62"/>
    <mergeCell ref="I60:I62"/>
    <mergeCell ref="N60:N62"/>
    <mergeCell ref="O60:O62"/>
    <mergeCell ref="P60:P62"/>
    <mergeCell ref="Q60:Q62"/>
    <mergeCell ref="C60:C62"/>
    <mergeCell ref="D57:D59"/>
    <mergeCell ref="E57:E59"/>
    <mergeCell ref="F57:F59"/>
    <mergeCell ref="G57:G59"/>
    <mergeCell ref="B60:B62"/>
    <mergeCell ref="D60:D62"/>
    <mergeCell ref="E60:E62"/>
    <mergeCell ref="F60:F62"/>
    <mergeCell ref="G60:G62"/>
  </mergeCells>
  <conditionalFormatting sqref="K13">
    <cfRule type="expression" dxfId="427" priority="22832">
      <formula>J13="NO CUMPLE"</formula>
    </cfRule>
    <cfRule type="expression" dxfId="426" priority="22833">
      <formula>J13="CUMPLE"</formula>
    </cfRule>
  </conditionalFormatting>
  <conditionalFormatting sqref="M13">
    <cfRule type="expression" dxfId="425" priority="22830">
      <formula>L13="NO CUMPLE"</formula>
    </cfRule>
    <cfRule type="expression" dxfId="424" priority="22831">
      <formula>L13="CUMPLE"</formula>
    </cfRule>
  </conditionalFormatting>
  <conditionalFormatting sqref="N13">
    <cfRule type="expression" dxfId="423" priority="22827">
      <formula>N13=" "</formula>
    </cfRule>
    <cfRule type="expression" dxfId="422" priority="22828">
      <formula>N13="NO PRESENTÓ CERTIFICADO"</formula>
    </cfRule>
    <cfRule type="expression" dxfId="421" priority="22829">
      <formula>N13="PRESENTÓ CERTIFICADO"</formula>
    </cfRule>
  </conditionalFormatting>
  <conditionalFormatting sqref="J13">
    <cfRule type="cellIs" dxfId="420" priority="22825" operator="equal">
      <formula>"NO CUMPLE"</formula>
    </cfRule>
    <cfRule type="cellIs" dxfId="419" priority="22826" operator="equal">
      <formula>"CUMPLE"</formula>
    </cfRule>
  </conditionalFormatting>
  <conditionalFormatting sqref="L13">
    <cfRule type="cellIs" dxfId="418" priority="22823" operator="equal">
      <formula>"NO CUMPLE"</formula>
    </cfRule>
    <cfRule type="cellIs" dxfId="417" priority="22824" operator="equal">
      <formula>"CUMPLE"</formula>
    </cfRule>
  </conditionalFormatting>
  <conditionalFormatting sqref="S13">
    <cfRule type="cellIs" dxfId="416" priority="22821" operator="greaterThan">
      <formula>0</formula>
    </cfRule>
    <cfRule type="cellIs" dxfId="415" priority="22822" operator="equal">
      <formula>0</formula>
    </cfRule>
  </conditionalFormatting>
  <conditionalFormatting sqref="P13">
    <cfRule type="expression" dxfId="414" priority="22800">
      <formula>Q13="NO SUBSANABLE"</formula>
    </cfRule>
    <cfRule type="expression" dxfId="413" priority="22810">
      <formula>Q13="REQUERIMIENTOS SUBSANADOS"</formula>
    </cfRule>
    <cfRule type="expression" dxfId="412" priority="22811">
      <formula>Q13="PENDIENTES POR SUBSANAR"</formula>
    </cfRule>
    <cfRule type="expression" dxfId="411" priority="22816">
      <formula>Q13="SIN OBSERVACIÓN"</formula>
    </cfRule>
    <cfRule type="containsBlanks" dxfId="410" priority="22817">
      <formula>LEN(TRIM(P13))=0</formula>
    </cfRule>
  </conditionalFormatting>
  <conditionalFormatting sqref="O13">
    <cfRule type="cellIs" dxfId="409" priority="22809" operator="equal">
      <formula>"PENDIENTE POR DESCRIPCIÓN"</formula>
    </cfRule>
    <cfRule type="cellIs" dxfId="408" priority="22813" operator="equal">
      <formula>"DESCRIPCIÓN INSUFICIENTE"</formula>
    </cfRule>
    <cfRule type="cellIs" dxfId="407" priority="22814" operator="equal">
      <formula>"NO ESTÁ ACORDE A ITEM 5.2.1 (T.R.)"</formula>
    </cfRule>
    <cfRule type="cellIs" dxfId="406" priority="22815" operator="equal">
      <formula>"ACORDE A ITEM 5.2.1 (T.R.)"</formula>
    </cfRule>
  </conditionalFormatting>
  <conditionalFormatting sqref="Q13">
    <cfRule type="containsBlanks" dxfId="405" priority="22795">
      <formula>LEN(TRIM(Q13))=0</formula>
    </cfRule>
    <cfRule type="cellIs" dxfId="404" priority="22812" operator="equal">
      <formula>"REQUERIMIENTOS SUBSANADOS"</formula>
    </cfRule>
    <cfRule type="containsText" dxfId="403" priority="22818" operator="containsText" text="NO SUBSANABLE">
      <formula>NOT(ISERROR(SEARCH("NO SUBSANABLE",Q13)))</formula>
    </cfRule>
    <cfRule type="containsText" dxfId="402" priority="22819" operator="containsText" text="PENDIENTES POR SUBSANAR">
      <formula>NOT(ISERROR(SEARCH("PENDIENTES POR SUBSANAR",Q13)))</formula>
    </cfRule>
    <cfRule type="containsText" dxfId="401" priority="22820" operator="containsText" text="SIN OBSERVACIÓN">
      <formula>NOT(ISERROR(SEARCH("SIN OBSERVACIÓN",Q13)))</formula>
    </cfRule>
  </conditionalFormatting>
  <conditionalFormatting sqref="R13">
    <cfRule type="containsBlanks" dxfId="400" priority="22794">
      <formula>LEN(TRIM(R13))=0</formula>
    </cfRule>
    <cfRule type="cellIs" dxfId="399" priority="22796" operator="equal">
      <formula>"NO CUMPLEN CON LO SOLICITADO"</formula>
    </cfRule>
    <cfRule type="cellIs" dxfId="398" priority="22797" operator="equal">
      <formula>"CUMPLEN CON LO SOLICITADO"</formula>
    </cfRule>
    <cfRule type="cellIs" dxfId="397" priority="22798" operator="equal">
      <formula>"PENDIENTES"</formula>
    </cfRule>
    <cfRule type="cellIs" dxfId="396" priority="22799" operator="equal">
      <formula>"NINGUNO"</formula>
    </cfRule>
  </conditionalFormatting>
  <conditionalFormatting sqref="T25">
    <cfRule type="cellIs" dxfId="395" priority="22632" operator="equal">
      <formula>"NO CUMPLE"</formula>
    </cfRule>
    <cfRule type="cellIs" dxfId="394" priority="22633" operator="equal">
      <formula>"CUMPLE"</formula>
    </cfRule>
  </conditionalFormatting>
  <conditionalFormatting sqref="B25">
    <cfRule type="cellIs" dxfId="393" priority="22630" operator="equal">
      <formula>"NO CUMPLE CON LA EXPERIENCIA REQUERIDA"</formula>
    </cfRule>
    <cfRule type="cellIs" dxfId="392" priority="22631" operator="equal">
      <formula>"CUMPLE CON LA EXPERIENCIA REQUERIDA"</formula>
    </cfRule>
  </conditionalFormatting>
  <conditionalFormatting sqref="H13">
    <cfRule type="notContainsBlanks" dxfId="391" priority="22629">
      <formula>LEN(TRIM(H13))&gt;0</formula>
    </cfRule>
  </conditionalFormatting>
  <conditionalFormatting sqref="G13">
    <cfRule type="notContainsBlanks" dxfId="390" priority="22628">
      <formula>LEN(TRIM(G13))&gt;0</formula>
    </cfRule>
  </conditionalFormatting>
  <conditionalFormatting sqref="F13">
    <cfRule type="notContainsBlanks" dxfId="389" priority="22627">
      <formula>LEN(TRIM(F13))&gt;0</formula>
    </cfRule>
  </conditionalFormatting>
  <conditionalFormatting sqref="E13">
    <cfRule type="notContainsBlanks" dxfId="388" priority="22626">
      <formula>LEN(TRIM(E13))&gt;0</formula>
    </cfRule>
  </conditionalFormatting>
  <conditionalFormatting sqref="D13">
    <cfRule type="notContainsBlanks" dxfId="387" priority="22625">
      <formula>LEN(TRIM(D13))&gt;0</formula>
    </cfRule>
  </conditionalFormatting>
  <conditionalFormatting sqref="C13">
    <cfRule type="notContainsBlanks" dxfId="386" priority="22624">
      <formula>LEN(TRIM(C13))&gt;0</formula>
    </cfRule>
  </conditionalFormatting>
  <conditionalFormatting sqref="I13">
    <cfRule type="notContainsBlanks" dxfId="385" priority="22623">
      <formula>LEN(TRIM(I13))&gt;0</formula>
    </cfRule>
  </conditionalFormatting>
  <conditionalFormatting sqref="N16">
    <cfRule type="expression" dxfId="384" priority="15188">
      <formula>N16=" "</formula>
    </cfRule>
    <cfRule type="expression" dxfId="383" priority="15189">
      <formula>N16="NO PRESENTÓ CERTIFICADO"</formula>
    </cfRule>
    <cfRule type="expression" dxfId="382" priority="15190">
      <formula>N16="PRESENTÓ CERTIFICADO"</formula>
    </cfRule>
  </conditionalFormatting>
  <conditionalFormatting sqref="P16 P19">
    <cfRule type="expression" dxfId="381" priority="15165">
      <formula>Q16="NO SUBSANABLE"</formula>
    </cfRule>
    <cfRule type="expression" dxfId="380" priority="15171">
      <formula>Q16="REQUERIMIENTOS SUBSANADOS"</formula>
    </cfRule>
    <cfRule type="expression" dxfId="379" priority="15172">
      <formula>Q16="PENDIENTES POR SUBSANAR"</formula>
    </cfRule>
    <cfRule type="expression" dxfId="378" priority="15177">
      <formula>Q16="SIN OBSERVACIÓN"</formula>
    </cfRule>
    <cfRule type="containsBlanks" dxfId="377" priority="15178">
      <formula>LEN(TRIM(P16))=0</formula>
    </cfRule>
  </conditionalFormatting>
  <conditionalFormatting sqref="O16">
    <cfRule type="cellIs" dxfId="376" priority="15170" operator="equal">
      <formula>"PENDIENTE POR DESCRIPCIÓN"</formula>
    </cfRule>
    <cfRule type="cellIs" dxfId="375" priority="15174" operator="equal">
      <formula>"DESCRIPCIÓN INSUFICIENTE"</formula>
    </cfRule>
    <cfRule type="cellIs" dxfId="374" priority="15175" operator="equal">
      <formula>"NO ESTÁ ACORDE A ITEM 5.2.1 (T.R.)"</formula>
    </cfRule>
    <cfRule type="cellIs" dxfId="373" priority="15176" operator="equal">
      <formula>"ACORDE A ITEM 5.2.1 (T.R.)"</formula>
    </cfRule>
  </conditionalFormatting>
  <conditionalFormatting sqref="Q16">
    <cfRule type="containsBlanks" dxfId="372" priority="15160">
      <formula>LEN(TRIM(Q16))=0</formula>
    </cfRule>
    <cfRule type="cellIs" dxfId="371" priority="15173" operator="equal">
      <formula>"REQUERIMIENTOS SUBSANADOS"</formula>
    </cfRule>
    <cfRule type="containsText" dxfId="370" priority="15179" operator="containsText" text="NO SUBSANABLE">
      <formula>NOT(ISERROR(SEARCH("NO SUBSANABLE",Q16)))</formula>
    </cfRule>
    <cfRule type="containsText" dxfId="369" priority="15180" operator="containsText" text="PENDIENTES POR SUBSANAR">
      <formula>NOT(ISERROR(SEARCH("PENDIENTES POR SUBSANAR",Q16)))</formula>
    </cfRule>
    <cfRule type="containsText" dxfId="368" priority="15181" operator="containsText" text="SIN OBSERVACIÓN">
      <formula>NOT(ISERROR(SEARCH("SIN OBSERVACIÓN",Q16)))</formula>
    </cfRule>
  </conditionalFormatting>
  <conditionalFormatting sqref="R16">
    <cfRule type="containsBlanks" dxfId="367" priority="15159">
      <formula>LEN(TRIM(R16))=0</formula>
    </cfRule>
    <cfRule type="cellIs" dxfId="366" priority="15161" operator="equal">
      <formula>"NO CUMPLEN CON LO SOLICITADO"</formula>
    </cfRule>
    <cfRule type="cellIs" dxfId="365" priority="15162" operator="equal">
      <formula>"CUMPLEN CON LO SOLICITADO"</formula>
    </cfRule>
    <cfRule type="cellIs" dxfId="364" priority="15163" operator="equal">
      <formula>"PENDIENTES"</formula>
    </cfRule>
    <cfRule type="cellIs" dxfId="363" priority="15164" operator="equal">
      <formula>"NINGUNO"</formula>
    </cfRule>
  </conditionalFormatting>
  <conditionalFormatting sqref="H16 H19">
    <cfRule type="notContainsBlanks" dxfId="362" priority="15158">
      <formula>LEN(TRIM(H16))&gt;0</formula>
    </cfRule>
  </conditionalFormatting>
  <conditionalFormatting sqref="G16 G19">
    <cfRule type="notContainsBlanks" dxfId="361" priority="15157">
      <formula>LEN(TRIM(G16))&gt;0</formula>
    </cfRule>
  </conditionalFormatting>
  <conditionalFormatting sqref="F16 F19">
    <cfRule type="notContainsBlanks" dxfId="360" priority="15156">
      <formula>LEN(TRIM(F16))&gt;0</formula>
    </cfRule>
  </conditionalFormatting>
  <conditionalFormatting sqref="E16 E19">
    <cfRule type="notContainsBlanks" dxfId="359" priority="15155">
      <formula>LEN(TRIM(E16))&gt;0</formula>
    </cfRule>
  </conditionalFormatting>
  <conditionalFormatting sqref="D16 D19">
    <cfRule type="notContainsBlanks" dxfId="358" priority="15154">
      <formula>LEN(TRIM(D16))&gt;0</formula>
    </cfRule>
  </conditionalFormatting>
  <conditionalFormatting sqref="C16 C19">
    <cfRule type="notContainsBlanks" dxfId="357" priority="15153">
      <formula>LEN(TRIM(C16))&gt;0</formula>
    </cfRule>
  </conditionalFormatting>
  <conditionalFormatting sqref="I16 I19">
    <cfRule type="notContainsBlanks" dxfId="356" priority="15152">
      <formula>LEN(TRIM(I16))&gt;0</formula>
    </cfRule>
  </conditionalFormatting>
  <conditionalFormatting sqref="N22">
    <cfRule type="expression" dxfId="355" priority="13525">
      <formula>N22=" "</formula>
    </cfRule>
    <cfRule type="expression" dxfId="354" priority="13526">
      <formula>N22="NO PRESENTÓ CERTIFICADO"</formula>
    </cfRule>
    <cfRule type="expression" dxfId="353" priority="13527">
      <formula>N22="PRESENTÓ CERTIFICADO"</formula>
    </cfRule>
  </conditionalFormatting>
  <conditionalFormatting sqref="P22">
    <cfRule type="expression" dxfId="352" priority="13502">
      <formula>Q22="NO SUBSANABLE"</formula>
    </cfRule>
    <cfRule type="expression" dxfId="351" priority="13508">
      <formula>Q22="REQUERIMIENTOS SUBSANADOS"</formula>
    </cfRule>
    <cfRule type="expression" dxfId="350" priority="13509">
      <formula>Q22="PENDIENTES POR SUBSANAR"</formula>
    </cfRule>
    <cfRule type="expression" dxfId="349" priority="13514">
      <formula>Q22="SIN OBSERVACIÓN"</formula>
    </cfRule>
    <cfRule type="containsBlanks" dxfId="348" priority="13515">
      <formula>LEN(TRIM(P22))=0</formula>
    </cfRule>
  </conditionalFormatting>
  <conditionalFormatting sqref="O22">
    <cfRule type="cellIs" dxfId="347" priority="13507" operator="equal">
      <formula>"PENDIENTE POR DESCRIPCIÓN"</formula>
    </cfRule>
    <cfRule type="cellIs" dxfId="346" priority="13511" operator="equal">
      <formula>"DESCRIPCIÓN INSUFICIENTE"</formula>
    </cfRule>
    <cfRule type="cellIs" dxfId="345" priority="13512" operator="equal">
      <formula>"NO ESTÁ ACORDE A ITEM 5.2.1 (T.R.)"</formula>
    </cfRule>
    <cfRule type="cellIs" dxfId="344" priority="13513" operator="equal">
      <formula>"ACORDE A ITEM 5.2.1 (T.R.)"</formula>
    </cfRule>
  </conditionalFormatting>
  <conditionalFormatting sqref="Q22">
    <cfRule type="containsBlanks" dxfId="343" priority="13497">
      <formula>LEN(TRIM(Q22))=0</formula>
    </cfRule>
    <cfRule type="cellIs" dxfId="342" priority="13510" operator="equal">
      <formula>"REQUERIMIENTOS SUBSANADOS"</formula>
    </cfRule>
    <cfRule type="containsText" dxfId="341" priority="13516" operator="containsText" text="NO SUBSANABLE">
      <formula>NOT(ISERROR(SEARCH("NO SUBSANABLE",Q22)))</formula>
    </cfRule>
    <cfRule type="containsText" dxfId="340" priority="13517" operator="containsText" text="PENDIENTES POR SUBSANAR">
      <formula>NOT(ISERROR(SEARCH("PENDIENTES POR SUBSANAR",Q22)))</formula>
    </cfRule>
    <cfRule type="containsText" dxfId="339" priority="13518" operator="containsText" text="SIN OBSERVACIÓN">
      <formula>NOT(ISERROR(SEARCH("SIN OBSERVACIÓN",Q22)))</formula>
    </cfRule>
  </conditionalFormatting>
  <conditionalFormatting sqref="R22">
    <cfRule type="containsBlanks" dxfId="338" priority="13496">
      <formula>LEN(TRIM(R22))=0</formula>
    </cfRule>
    <cfRule type="cellIs" dxfId="337" priority="13498" operator="equal">
      <formula>"NO CUMPLEN CON LO SOLICITADO"</formula>
    </cfRule>
    <cfRule type="cellIs" dxfId="336" priority="13499" operator="equal">
      <formula>"CUMPLEN CON LO SOLICITADO"</formula>
    </cfRule>
    <cfRule type="cellIs" dxfId="335" priority="13500" operator="equal">
      <formula>"PENDIENTES"</formula>
    </cfRule>
    <cfRule type="cellIs" dxfId="334" priority="13501" operator="equal">
      <formula>"NINGUNO"</formula>
    </cfRule>
  </conditionalFormatting>
  <conditionalFormatting sqref="H22">
    <cfRule type="notContainsBlanks" dxfId="333" priority="13495">
      <formula>LEN(TRIM(H22))&gt;0</formula>
    </cfRule>
  </conditionalFormatting>
  <conditionalFormatting sqref="G22">
    <cfRule type="notContainsBlanks" dxfId="332" priority="13494">
      <formula>LEN(TRIM(G22))&gt;0</formula>
    </cfRule>
  </conditionalFormatting>
  <conditionalFormatting sqref="F22">
    <cfRule type="notContainsBlanks" dxfId="331" priority="13493">
      <formula>LEN(TRIM(F22))&gt;0</formula>
    </cfRule>
  </conditionalFormatting>
  <conditionalFormatting sqref="E22">
    <cfRule type="notContainsBlanks" dxfId="330" priority="13492">
      <formula>LEN(TRIM(E22))&gt;0</formula>
    </cfRule>
  </conditionalFormatting>
  <conditionalFormatting sqref="D22">
    <cfRule type="notContainsBlanks" dxfId="329" priority="13491">
      <formula>LEN(TRIM(D22))&gt;0</formula>
    </cfRule>
  </conditionalFormatting>
  <conditionalFormatting sqref="C22">
    <cfRule type="notContainsBlanks" dxfId="328" priority="13490">
      <formula>LEN(TRIM(C22))&gt;0</formula>
    </cfRule>
  </conditionalFormatting>
  <conditionalFormatting sqref="I22">
    <cfRule type="notContainsBlanks" dxfId="327" priority="13489">
      <formula>LEN(TRIM(I22))&gt;0</formula>
    </cfRule>
  </conditionalFormatting>
  <conditionalFormatting sqref="T13">
    <cfRule type="cellIs" dxfId="326" priority="13487" operator="equal">
      <formula>"NO"</formula>
    </cfRule>
    <cfRule type="cellIs" dxfId="325" priority="13488" operator="equal">
      <formula>"SI"</formula>
    </cfRule>
  </conditionalFormatting>
  <conditionalFormatting sqref="S16 S19 S22">
    <cfRule type="cellIs" dxfId="324" priority="13485" operator="greaterThan">
      <formula>0</formula>
    </cfRule>
    <cfRule type="cellIs" dxfId="323" priority="13486" operator="equal">
      <formula>0</formula>
    </cfRule>
  </conditionalFormatting>
  <conditionalFormatting sqref="T44">
    <cfRule type="cellIs" dxfId="322" priority="9950" operator="equal">
      <formula>"NO CUMPLE"</formula>
    </cfRule>
    <cfRule type="cellIs" dxfId="321" priority="9951" operator="equal">
      <formula>"CUMPLE"</formula>
    </cfRule>
  </conditionalFormatting>
  <conditionalFormatting sqref="B44">
    <cfRule type="cellIs" dxfId="320" priority="9948" operator="equal">
      <formula>"NO CUMPLE CON LA EXPERIENCIA REQUERIDA"</formula>
    </cfRule>
    <cfRule type="cellIs" dxfId="319" priority="9949" operator="equal">
      <formula>"CUMPLE CON LA EXPERIENCIA REQUERIDA"</formula>
    </cfRule>
  </conditionalFormatting>
  <conditionalFormatting sqref="T63">
    <cfRule type="cellIs" dxfId="318" priority="9742" operator="equal">
      <formula>"NO CUMPLE"</formula>
    </cfRule>
    <cfRule type="cellIs" dxfId="317" priority="9743" operator="equal">
      <formula>"CUMPLE"</formula>
    </cfRule>
  </conditionalFormatting>
  <conditionalFormatting sqref="B63">
    <cfRule type="cellIs" dxfId="316" priority="9740" operator="equal">
      <formula>"NO CUMPLE CON LA EXPERIENCIA REQUERIDA"</formula>
    </cfRule>
    <cfRule type="cellIs" dxfId="315" priority="9741" operator="equal">
      <formula>"CUMPLE CON LA EXPERIENCIA REQUERIDA"</formula>
    </cfRule>
  </conditionalFormatting>
  <conditionalFormatting sqref="Z12">
    <cfRule type="cellIs" dxfId="314" priority="7070" operator="equal">
      <formula>"NH"</formula>
    </cfRule>
    <cfRule type="cellIs" dxfId="313" priority="7071" operator="equal">
      <formula>"H"</formula>
    </cfRule>
  </conditionalFormatting>
  <conditionalFormatting sqref="Z13:Z14">
    <cfRule type="cellIs" dxfId="312" priority="7068" operator="equal">
      <formula>"NH"</formula>
    </cfRule>
    <cfRule type="cellIs" dxfId="311" priority="7069" operator="equal">
      <formula>"H"</formula>
    </cfRule>
  </conditionalFormatting>
  <conditionalFormatting sqref="S32">
    <cfRule type="cellIs" dxfId="310" priority="7054" operator="greaterThan">
      <formula>0</formula>
    </cfRule>
    <cfRule type="cellIs" dxfId="309" priority="7055" operator="equal">
      <formula>0</formula>
    </cfRule>
  </conditionalFormatting>
  <conditionalFormatting sqref="T32">
    <cfRule type="cellIs" dxfId="308" priority="6968" operator="equal">
      <formula>"NO"</formula>
    </cfRule>
    <cfRule type="cellIs" dxfId="307" priority="6969" operator="equal">
      <formula>"SI"</formula>
    </cfRule>
  </conditionalFormatting>
  <conditionalFormatting sqref="S35 S38 S41">
    <cfRule type="cellIs" dxfId="306" priority="6966" operator="greaterThan">
      <formula>0</formula>
    </cfRule>
    <cfRule type="cellIs" dxfId="305" priority="6967" operator="equal">
      <formula>0</formula>
    </cfRule>
  </conditionalFormatting>
  <conditionalFormatting sqref="S51 S54 S57 S60">
    <cfRule type="cellIs" dxfId="304" priority="6850" operator="greaterThan">
      <formula>0</formula>
    </cfRule>
    <cfRule type="cellIs" dxfId="303" priority="6851" operator="equal">
      <formula>0</formula>
    </cfRule>
  </conditionalFormatting>
  <conditionalFormatting sqref="T51">
    <cfRule type="cellIs" dxfId="302" priority="6764" operator="equal">
      <formula>"NO"</formula>
    </cfRule>
    <cfRule type="cellIs" dxfId="301" priority="6765" operator="equal">
      <formula>"SI"</formula>
    </cfRule>
  </conditionalFormatting>
  <conditionalFormatting sqref="N19">
    <cfRule type="expression" dxfId="300" priority="3812">
      <formula>N19=" "</formula>
    </cfRule>
    <cfRule type="expression" dxfId="299" priority="3813">
      <formula>N19="NO PRESENTÓ CERTIFICADO"</formula>
    </cfRule>
    <cfRule type="expression" dxfId="298" priority="3814">
      <formula>N19="PRESENTÓ CERTIFICADO"</formula>
    </cfRule>
  </conditionalFormatting>
  <conditionalFormatting sqref="O19">
    <cfRule type="cellIs" dxfId="297" priority="3808" operator="equal">
      <formula>"PENDIENTE POR DESCRIPCIÓN"</formula>
    </cfRule>
    <cfRule type="cellIs" dxfId="296" priority="3809" operator="equal">
      <formula>"DESCRIPCIÓN INSUFICIENTE"</formula>
    </cfRule>
    <cfRule type="cellIs" dxfId="295" priority="3810" operator="equal">
      <formula>"NO ESTÁ ACORDE A ITEM 5.2.1 (T.R.)"</formula>
    </cfRule>
    <cfRule type="cellIs" dxfId="294" priority="3811" operator="equal">
      <formula>"ACORDE A ITEM 5.2.1 (T.R.)"</formula>
    </cfRule>
  </conditionalFormatting>
  <conditionalFormatting sqref="Q19">
    <cfRule type="containsBlanks" dxfId="293" priority="3799">
      <formula>LEN(TRIM(Q19))=0</formula>
    </cfRule>
    <cfRule type="cellIs" dxfId="292" priority="3804" operator="equal">
      <formula>"REQUERIMIENTOS SUBSANADOS"</formula>
    </cfRule>
    <cfRule type="containsText" dxfId="291" priority="3805" operator="containsText" text="NO SUBSANABLE">
      <formula>NOT(ISERROR(SEARCH("NO SUBSANABLE",Q19)))</formula>
    </cfRule>
    <cfRule type="containsText" dxfId="290" priority="3806" operator="containsText" text="PENDIENTES POR SUBSANAR">
      <formula>NOT(ISERROR(SEARCH("PENDIENTES POR SUBSANAR",Q19)))</formula>
    </cfRule>
    <cfRule type="containsText" dxfId="289" priority="3807" operator="containsText" text="SIN OBSERVACIÓN">
      <formula>NOT(ISERROR(SEARCH("SIN OBSERVACIÓN",Q19)))</formula>
    </cfRule>
  </conditionalFormatting>
  <conditionalFormatting sqref="R19">
    <cfRule type="containsBlanks" dxfId="288" priority="3798">
      <formula>LEN(TRIM(R19))=0</formula>
    </cfRule>
    <cfRule type="cellIs" dxfId="287" priority="3800" operator="equal">
      <formula>"NO CUMPLEN CON LO SOLICITADO"</formula>
    </cfRule>
    <cfRule type="cellIs" dxfId="286" priority="3801" operator="equal">
      <formula>"CUMPLEN CON LO SOLICITADO"</formula>
    </cfRule>
    <cfRule type="cellIs" dxfId="285" priority="3802" operator="equal">
      <formula>"PENDIENTES"</formula>
    </cfRule>
    <cfRule type="cellIs" dxfId="284" priority="3803" operator="equal">
      <formula>"NINGUNO"</formula>
    </cfRule>
  </conditionalFormatting>
  <conditionalFormatting sqref="N32">
    <cfRule type="expression" dxfId="283" priority="3741">
      <formula>N32=" "</formula>
    </cfRule>
    <cfRule type="expression" dxfId="282" priority="3742">
      <formula>N32="NO PRESENTÓ CERTIFICADO"</formula>
    </cfRule>
    <cfRule type="expression" dxfId="281" priority="3743">
      <formula>N32="PRESENTÓ CERTIFICADO"</formula>
    </cfRule>
  </conditionalFormatting>
  <conditionalFormatting sqref="P32">
    <cfRule type="expression" dxfId="280" priority="3724">
      <formula>Q32="NO SUBSANABLE"</formula>
    </cfRule>
    <cfRule type="expression" dxfId="279" priority="3726">
      <formula>Q32="REQUERIMIENTOS SUBSANADOS"</formula>
    </cfRule>
    <cfRule type="expression" dxfId="278" priority="3727">
      <formula>Q32="PENDIENTES POR SUBSANAR"</formula>
    </cfRule>
    <cfRule type="expression" dxfId="277" priority="3732">
      <formula>Q32="SIN OBSERVACIÓN"</formula>
    </cfRule>
    <cfRule type="containsBlanks" dxfId="276" priority="3733">
      <formula>LEN(TRIM(P32))=0</formula>
    </cfRule>
  </conditionalFormatting>
  <conditionalFormatting sqref="O32">
    <cfRule type="cellIs" dxfId="275" priority="3725" operator="equal">
      <formula>"PENDIENTE POR DESCRIPCIÓN"</formula>
    </cfRule>
    <cfRule type="cellIs" dxfId="274" priority="3729" operator="equal">
      <formula>"DESCRIPCIÓN INSUFICIENTE"</formula>
    </cfRule>
    <cfRule type="cellIs" dxfId="273" priority="3730" operator="equal">
      <formula>"NO ESTÁ ACORDE A ITEM 5.2.1 (T.R.)"</formula>
    </cfRule>
    <cfRule type="cellIs" dxfId="272" priority="3731" operator="equal">
      <formula>"ACORDE A ITEM 5.2.1 (T.R.)"</formula>
    </cfRule>
  </conditionalFormatting>
  <conditionalFormatting sqref="Q32">
    <cfRule type="containsBlanks" dxfId="271" priority="3719">
      <formula>LEN(TRIM(Q32))=0</formula>
    </cfRule>
    <cfRule type="cellIs" dxfId="270" priority="3728" operator="equal">
      <formula>"REQUERIMIENTOS SUBSANADOS"</formula>
    </cfRule>
    <cfRule type="containsText" dxfId="269" priority="3734" operator="containsText" text="NO SUBSANABLE">
      <formula>NOT(ISERROR(SEARCH("NO SUBSANABLE",Q32)))</formula>
    </cfRule>
    <cfRule type="containsText" dxfId="268" priority="3735" operator="containsText" text="PENDIENTES POR SUBSANAR">
      <formula>NOT(ISERROR(SEARCH("PENDIENTES POR SUBSANAR",Q32)))</formula>
    </cfRule>
    <cfRule type="containsText" dxfId="267" priority="3736" operator="containsText" text="SIN OBSERVACIÓN">
      <formula>NOT(ISERROR(SEARCH("SIN OBSERVACIÓN",Q32)))</formula>
    </cfRule>
  </conditionalFormatting>
  <conditionalFormatting sqref="R32">
    <cfRule type="containsBlanks" dxfId="266" priority="3718">
      <formula>LEN(TRIM(R32))=0</formula>
    </cfRule>
    <cfRule type="cellIs" dxfId="265" priority="3720" operator="equal">
      <formula>"NO CUMPLEN CON LO SOLICITADO"</formula>
    </cfRule>
    <cfRule type="cellIs" dxfId="264" priority="3721" operator="equal">
      <formula>"CUMPLEN CON LO SOLICITADO"</formula>
    </cfRule>
    <cfRule type="cellIs" dxfId="263" priority="3722" operator="equal">
      <formula>"PENDIENTES"</formula>
    </cfRule>
    <cfRule type="cellIs" dxfId="262" priority="3723" operator="equal">
      <formula>"NINGUNO"</formula>
    </cfRule>
  </conditionalFormatting>
  <conditionalFormatting sqref="H32">
    <cfRule type="notContainsBlanks" dxfId="261" priority="3717">
      <formula>LEN(TRIM(H32))&gt;0</formula>
    </cfRule>
  </conditionalFormatting>
  <conditionalFormatting sqref="G32">
    <cfRule type="notContainsBlanks" dxfId="260" priority="3716">
      <formula>LEN(TRIM(G32))&gt;0</formula>
    </cfRule>
  </conditionalFormatting>
  <conditionalFormatting sqref="F32">
    <cfRule type="notContainsBlanks" dxfId="259" priority="3715">
      <formula>LEN(TRIM(F32))&gt;0</formula>
    </cfRule>
  </conditionalFormatting>
  <conditionalFormatting sqref="E32">
    <cfRule type="notContainsBlanks" dxfId="258" priority="3714">
      <formula>LEN(TRIM(E32))&gt;0</formula>
    </cfRule>
  </conditionalFormatting>
  <conditionalFormatting sqref="D32">
    <cfRule type="notContainsBlanks" dxfId="257" priority="3713">
      <formula>LEN(TRIM(D32))&gt;0</formula>
    </cfRule>
  </conditionalFormatting>
  <conditionalFormatting sqref="C32">
    <cfRule type="notContainsBlanks" dxfId="256" priority="3712">
      <formula>LEN(TRIM(C32))&gt;0</formula>
    </cfRule>
  </conditionalFormatting>
  <conditionalFormatting sqref="I32">
    <cfRule type="notContainsBlanks" dxfId="255" priority="3711">
      <formula>LEN(TRIM(I32))&gt;0</formula>
    </cfRule>
  </conditionalFormatting>
  <conditionalFormatting sqref="N35">
    <cfRule type="expression" dxfId="254" priority="3708">
      <formula>N35=" "</formula>
    </cfRule>
    <cfRule type="expression" dxfId="253" priority="3709">
      <formula>N35="NO PRESENTÓ CERTIFICADO"</formula>
    </cfRule>
    <cfRule type="expression" dxfId="252" priority="3710">
      <formula>N35="PRESENTÓ CERTIFICADO"</formula>
    </cfRule>
  </conditionalFormatting>
  <conditionalFormatting sqref="P35 P38">
    <cfRule type="expression" dxfId="251" priority="3695">
      <formula>Q35="NO SUBSANABLE"</formula>
    </cfRule>
    <cfRule type="expression" dxfId="250" priority="3697">
      <formula>Q35="REQUERIMIENTOS SUBSANADOS"</formula>
    </cfRule>
    <cfRule type="expression" dxfId="249" priority="3698">
      <formula>Q35="PENDIENTES POR SUBSANAR"</formula>
    </cfRule>
    <cfRule type="expression" dxfId="248" priority="3703">
      <formula>Q35="SIN OBSERVACIÓN"</formula>
    </cfRule>
    <cfRule type="containsBlanks" dxfId="247" priority="3704">
      <formula>LEN(TRIM(P35))=0</formula>
    </cfRule>
  </conditionalFormatting>
  <conditionalFormatting sqref="O35">
    <cfRule type="cellIs" dxfId="246" priority="3696" operator="equal">
      <formula>"PENDIENTE POR DESCRIPCIÓN"</formula>
    </cfRule>
    <cfRule type="cellIs" dxfId="245" priority="3700" operator="equal">
      <formula>"DESCRIPCIÓN INSUFICIENTE"</formula>
    </cfRule>
    <cfRule type="cellIs" dxfId="244" priority="3701" operator="equal">
      <formula>"NO ESTÁ ACORDE A ITEM 5.2.1 (T.R.)"</formula>
    </cfRule>
    <cfRule type="cellIs" dxfId="243" priority="3702" operator="equal">
      <formula>"ACORDE A ITEM 5.2.1 (T.R.)"</formula>
    </cfRule>
  </conditionalFormatting>
  <conditionalFormatting sqref="Q35">
    <cfRule type="containsBlanks" dxfId="242" priority="3690">
      <formula>LEN(TRIM(Q35))=0</formula>
    </cfRule>
    <cfRule type="cellIs" dxfId="241" priority="3699" operator="equal">
      <formula>"REQUERIMIENTOS SUBSANADOS"</formula>
    </cfRule>
    <cfRule type="containsText" dxfId="240" priority="3705" operator="containsText" text="NO SUBSANABLE">
      <formula>NOT(ISERROR(SEARCH("NO SUBSANABLE",Q35)))</formula>
    </cfRule>
    <cfRule type="containsText" dxfId="239" priority="3706" operator="containsText" text="PENDIENTES POR SUBSANAR">
      <formula>NOT(ISERROR(SEARCH("PENDIENTES POR SUBSANAR",Q35)))</formula>
    </cfRule>
    <cfRule type="containsText" dxfId="238" priority="3707" operator="containsText" text="SIN OBSERVACIÓN">
      <formula>NOT(ISERROR(SEARCH("SIN OBSERVACIÓN",Q35)))</formula>
    </cfRule>
  </conditionalFormatting>
  <conditionalFormatting sqref="R35">
    <cfRule type="containsBlanks" dxfId="237" priority="3689">
      <formula>LEN(TRIM(R35))=0</formula>
    </cfRule>
    <cfRule type="cellIs" dxfId="236" priority="3691" operator="equal">
      <formula>"NO CUMPLEN CON LO SOLICITADO"</formula>
    </cfRule>
    <cfRule type="cellIs" dxfId="235" priority="3692" operator="equal">
      <formula>"CUMPLEN CON LO SOLICITADO"</formula>
    </cfRule>
    <cfRule type="cellIs" dxfId="234" priority="3693" operator="equal">
      <formula>"PENDIENTES"</formula>
    </cfRule>
    <cfRule type="cellIs" dxfId="233" priority="3694" operator="equal">
      <formula>"NINGUNO"</formula>
    </cfRule>
  </conditionalFormatting>
  <conditionalFormatting sqref="H35 H38">
    <cfRule type="notContainsBlanks" dxfId="232" priority="3688">
      <formula>LEN(TRIM(H35))&gt;0</formula>
    </cfRule>
  </conditionalFormatting>
  <conditionalFormatting sqref="G35 G38">
    <cfRule type="notContainsBlanks" dxfId="231" priority="3687">
      <formula>LEN(TRIM(G35))&gt;0</formula>
    </cfRule>
  </conditionalFormatting>
  <conditionalFormatting sqref="F35 F38">
    <cfRule type="notContainsBlanks" dxfId="230" priority="3686">
      <formula>LEN(TRIM(F35))&gt;0</formula>
    </cfRule>
  </conditionalFormatting>
  <conditionalFormatting sqref="E35 E38">
    <cfRule type="notContainsBlanks" dxfId="229" priority="3685">
      <formula>LEN(TRIM(E35))&gt;0</formula>
    </cfRule>
  </conditionalFormatting>
  <conditionalFormatting sqref="D35 D38">
    <cfRule type="notContainsBlanks" dxfId="228" priority="3684">
      <formula>LEN(TRIM(D35))&gt;0</formula>
    </cfRule>
  </conditionalFormatting>
  <conditionalFormatting sqref="C35 C38">
    <cfRule type="notContainsBlanks" dxfId="227" priority="3683">
      <formula>LEN(TRIM(C35))&gt;0</formula>
    </cfRule>
  </conditionalFormatting>
  <conditionalFormatting sqref="I35 I38">
    <cfRule type="notContainsBlanks" dxfId="226" priority="3682">
      <formula>LEN(TRIM(I35))&gt;0</formula>
    </cfRule>
  </conditionalFormatting>
  <conditionalFormatting sqref="N41">
    <cfRule type="expression" dxfId="225" priority="3679">
      <formula>N41=" "</formula>
    </cfRule>
    <cfRule type="expression" dxfId="224" priority="3680">
      <formula>N41="NO PRESENTÓ CERTIFICADO"</formula>
    </cfRule>
    <cfRule type="expression" dxfId="223" priority="3681">
      <formula>N41="PRESENTÓ CERTIFICADO"</formula>
    </cfRule>
  </conditionalFormatting>
  <conditionalFormatting sqref="P41">
    <cfRule type="expression" dxfId="222" priority="3666">
      <formula>Q41="NO SUBSANABLE"</formula>
    </cfRule>
    <cfRule type="expression" dxfId="221" priority="3668">
      <formula>Q41="REQUERIMIENTOS SUBSANADOS"</formula>
    </cfRule>
    <cfRule type="expression" dxfId="220" priority="3669">
      <formula>Q41="PENDIENTES POR SUBSANAR"</formula>
    </cfRule>
    <cfRule type="expression" dxfId="219" priority="3674">
      <formula>Q41="SIN OBSERVACIÓN"</formula>
    </cfRule>
    <cfRule type="containsBlanks" dxfId="218" priority="3675">
      <formula>LEN(TRIM(P41))=0</formula>
    </cfRule>
  </conditionalFormatting>
  <conditionalFormatting sqref="O41">
    <cfRule type="cellIs" dxfId="217" priority="3667" operator="equal">
      <formula>"PENDIENTE POR DESCRIPCIÓN"</formula>
    </cfRule>
    <cfRule type="cellIs" dxfId="216" priority="3671" operator="equal">
      <formula>"DESCRIPCIÓN INSUFICIENTE"</formula>
    </cfRule>
    <cfRule type="cellIs" dxfId="215" priority="3672" operator="equal">
      <formula>"NO ESTÁ ACORDE A ITEM 5.2.1 (T.R.)"</formula>
    </cfRule>
    <cfRule type="cellIs" dxfId="214" priority="3673" operator="equal">
      <formula>"ACORDE A ITEM 5.2.1 (T.R.)"</formula>
    </cfRule>
  </conditionalFormatting>
  <conditionalFormatting sqref="Q41">
    <cfRule type="containsBlanks" dxfId="213" priority="3661">
      <formula>LEN(TRIM(Q41))=0</formula>
    </cfRule>
    <cfRule type="cellIs" dxfId="212" priority="3670" operator="equal">
      <formula>"REQUERIMIENTOS SUBSANADOS"</formula>
    </cfRule>
    <cfRule type="containsText" dxfId="211" priority="3676" operator="containsText" text="NO SUBSANABLE">
      <formula>NOT(ISERROR(SEARCH("NO SUBSANABLE",Q41)))</formula>
    </cfRule>
    <cfRule type="containsText" dxfId="210" priority="3677" operator="containsText" text="PENDIENTES POR SUBSANAR">
      <formula>NOT(ISERROR(SEARCH("PENDIENTES POR SUBSANAR",Q41)))</formula>
    </cfRule>
    <cfRule type="containsText" dxfId="209" priority="3678" operator="containsText" text="SIN OBSERVACIÓN">
      <formula>NOT(ISERROR(SEARCH("SIN OBSERVACIÓN",Q41)))</formula>
    </cfRule>
  </conditionalFormatting>
  <conditionalFormatting sqref="R41">
    <cfRule type="containsBlanks" dxfId="208" priority="3660">
      <formula>LEN(TRIM(R41))=0</formula>
    </cfRule>
    <cfRule type="cellIs" dxfId="207" priority="3662" operator="equal">
      <formula>"NO CUMPLEN CON LO SOLICITADO"</formula>
    </cfRule>
    <cfRule type="cellIs" dxfId="206" priority="3663" operator="equal">
      <formula>"CUMPLEN CON LO SOLICITADO"</formula>
    </cfRule>
    <cfRule type="cellIs" dxfId="205" priority="3664" operator="equal">
      <formula>"PENDIENTES"</formula>
    </cfRule>
    <cfRule type="cellIs" dxfId="204" priority="3665" operator="equal">
      <formula>"NINGUNO"</formula>
    </cfRule>
  </conditionalFormatting>
  <conditionalFormatting sqref="H41">
    <cfRule type="notContainsBlanks" dxfId="203" priority="3659">
      <formula>LEN(TRIM(H41))&gt;0</formula>
    </cfRule>
  </conditionalFormatting>
  <conditionalFormatting sqref="G41">
    <cfRule type="notContainsBlanks" dxfId="202" priority="3658">
      <formula>LEN(TRIM(G41))&gt;0</formula>
    </cfRule>
  </conditionalFormatting>
  <conditionalFormatting sqref="F41">
    <cfRule type="notContainsBlanks" dxfId="201" priority="3657">
      <formula>LEN(TRIM(F41))&gt;0</formula>
    </cfRule>
  </conditionalFormatting>
  <conditionalFormatting sqref="E41">
    <cfRule type="notContainsBlanks" dxfId="200" priority="3656">
      <formula>LEN(TRIM(E41))&gt;0</formula>
    </cfRule>
  </conditionalFormatting>
  <conditionalFormatting sqref="D41">
    <cfRule type="notContainsBlanks" dxfId="199" priority="3655">
      <formula>LEN(TRIM(D41))&gt;0</formula>
    </cfRule>
  </conditionalFormatting>
  <conditionalFormatting sqref="C41">
    <cfRule type="notContainsBlanks" dxfId="198" priority="3654">
      <formula>LEN(TRIM(C41))&gt;0</formula>
    </cfRule>
  </conditionalFormatting>
  <conditionalFormatting sqref="I41">
    <cfRule type="notContainsBlanks" dxfId="197" priority="3653">
      <formula>LEN(TRIM(I41))&gt;0</formula>
    </cfRule>
  </conditionalFormatting>
  <conditionalFormatting sqref="N38">
    <cfRule type="expression" dxfId="196" priority="3567">
      <formula>N38=" "</formula>
    </cfRule>
    <cfRule type="expression" dxfId="195" priority="3568">
      <formula>N38="NO PRESENTÓ CERTIFICADO"</formula>
    </cfRule>
    <cfRule type="expression" dxfId="194" priority="3569">
      <formula>N38="PRESENTÓ CERTIFICADO"</formula>
    </cfRule>
  </conditionalFormatting>
  <conditionalFormatting sqref="O38">
    <cfRule type="cellIs" dxfId="193" priority="3563" operator="equal">
      <formula>"PENDIENTE POR DESCRIPCIÓN"</formula>
    </cfRule>
    <cfRule type="cellIs" dxfId="192" priority="3564" operator="equal">
      <formula>"DESCRIPCIÓN INSUFICIENTE"</formula>
    </cfRule>
    <cfRule type="cellIs" dxfId="191" priority="3565" operator="equal">
      <formula>"NO ESTÁ ACORDE A ITEM 5.2.1 (T.R.)"</formula>
    </cfRule>
    <cfRule type="cellIs" dxfId="190" priority="3566" operator="equal">
      <formula>"ACORDE A ITEM 5.2.1 (T.R.)"</formula>
    </cfRule>
  </conditionalFormatting>
  <conditionalFormatting sqref="Q38">
    <cfRule type="containsBlanks" dxfId="189" priority="3554">
      <formula>LEN(TRIM(Q38))=0</formula>
    </cfRule>
    <cfRule type="cellIs" dxfId="188" priority="3559" operator="equal">
      <formula>"REQUERIMIENTOS SUBSANADOS"</formula>
    </cfRule>
    <cfRule type="containsText" dxfId="187" priority="3560" operator="containsText" text="NO SUBSANABLE">
      <formula>NOT(ISERROR(SEARCH("NO SUBSANABLE",Q38)))</formula>
    </cfRule>
    <cfRule type="containsText" dxfId="186" priority="3561" operator="containsText" text="PENDIENTES POR SUBSANAR">
      <formula>NOT(ISERROR(SEARCH("PENDIENTES POR SUBSANAR",Q38)))</formula>
    </cfRule>
    <cfRule type="containsText" dxfId="185" priority="3562" operator="containsText" text="SIN OBSERVACIÓN">
      <formula>NOT(ISERROR(SEARCH("SIN OBSERVACIÓN",Q38)))</formula>
    </cfRule>
  </conditionalFormatting>
  <conditionalFormatting sqref="R38">
    <cfRule type="containsBlanks" dxfId="184" priority="3553">
      <formula>LEN(TRIM(R38))=0</formula>
    </cfRule>
    <cfRule type="cellIs" dxfId="183" priority="3555" operator="equal">
      <formula>"NO CUMPLEN CON LO SOLICITADO"</formula>
    </cfRule>
    <cfRule type="cellIs" dxfId="182" priority="3556" operator="equal">
      <formula>"CUMPLEN CON LO SOLICITADO"</formula>
    </cfRule>
    <cfRule type="cellIs" dxfId="181" priority="3557" operator="equal">
      <formula>"PENDIENTES"</formula>
    </cfRule>
    <cfRule type="cellIs" dxfId="180" priority="3558" operator="equal">
      <formula>"NINGUNO"</formula>
    </cfRule>
  </conditionalFormatting>
  <conditionalFormatting sqref="N51">
    <cfRule type="expression" dxfId="179" priority="3538">
      <formula>N51=" "</formula>
    </cfRule>
    <cfRule type="expression" dxfId="178" priority="3539">
      <formula>N51="NO PRESENTÓ CERTIFICADO"</formula>
    </cfRule>
    <cfRule type="expression" dxfId="177" priority="3540">
      <formula>N51="PRESENTÓ CERTIFICADO"</formula>
    </cfRule>
  </conditionalFormatting>
  <conditionalFormatting sqref="P51">
    <cfRule type="expression" dxfId="176" priority="3521">
      <formula>Q51="NO SUBSANABLE"</formula>
    </cfRule>
    <cfRule type="expression" dxfId="175" priority="3523">
      <formula>Q51="REQUERIMIENTOS SUBSANADOS"</formula>
    </cfRule>
    <cfRule type="expression" dxfId="174" priority="3524">
      <formula>Q51="PENDIENTES POR SUBSANAR"</formula>
    </cfRule>
    <cfRule type="expression" dxfId="173" priority="3529">
      <formula>Q51="SIN OBSERVACIÓN"</formula>
    </cfRule>
    <cfRule type="containsBlanks" dxfId="172" priority="3530">
      <formula>LEN(TRIM(P51))=0</formula>
    </cfRule>
  </conditionalFormatting>
  <conditionalFormatting sqref="O51">
    <cfRule type="cellIs" dxfId="171" priority="3522" operator="equal">
      <formula>"PENDIENTE POR DESCRIPCIÓN"</formula>
    </cfRule>
    <cfRule type="cellIs" dxfId="170" priority="3526" operator="equal">
      <formula>"DESCRIPCIÓN INSUFICIENTE"</formula>
    </cfRule>
    <cfRule type="cellIs" dxfId="169" priority="3527" operator="equal">
      <formula>"NO ESTÁ ACORDE A ITEM 5.2.1 (T.R.)"</formula>
    </cfRule>
    <cfRule type="cellIs" dxfId="168" priority="3528" operator="equal">
      <formula>"ACORDE A ITEM 5.2.1 (T.R.)"</formula>
    </cfRule>
  </conditionalFormatting>
  <conditionalFormatting sqref="Q51">
    <cfRule type="containsBlanks" dxfId="167" priority="3516">
      <formula>LEN(TRIM(Q51))=0</formula>
    </cfRule>
    <cfRule type="cellIs" dxfId="166" priority="3525" operator="equal">
      <formula>"REQUERIMIENTOS SUBSANADOS"</formula>
    </cfRule>
    <cfRule type="containsText" dxfId="165" priority="3531" operator="containsText" text="NO SUBSANABLE">
      <formula>NOT(ISERROR(SEARCH("NO SUBSANABLE",Q51)))</formula>
    </cfRule>
    <cfRule type="containsText" dxfId="164" priority="3532" operator="containsText" text="PENDIENTES POR SUBSANAR">
      <formula>NOT(ISERROR(SEARCH("PENDIENTES POR SUBSANAR",Q51)))</formula>
    </cfRule>
    <cfRule type="containsText" dxfId="163" priority="3533" operator="containsText" text="SIN OBSERVACIÓN">
      <formula>NOT(ISERROR(SEARCH("SIN OBSERVACIÓN",Q51)))</formula>
    </cfRule>
  </conditionalFormatting>
  <conditionalFormatting sqref="R51">
    <cfRule type="containsBlanks" dxfId="162" priority="3515">
      <formula>LEN(TRIM(R51))=0</formula>
    </cfRule>
    <cfRule type="cellIs" dxfId="161" priority="3517" operator="equal">
      <formula>"NO CUMPLEN CON LO SOLICITADO"</formula>
    </cfRule>
    <cfRule type="cellIs" dxfId="160" priority="3518" operator="equal">
      <formula>"CUMPLEN CON LO SOLICITADO"</formula>
    </cfRule>
    <cfRule type="cellIs" dxfId="159" priority="3519" operator="equal">
      <formula>"PENDIENTES"</formula>
    </cfRule>
    <cfRule type="cellIs" dxfId="158" priority="3520" operator="equal">
      <formula>"NINGUNO"</formula>
    </cfRule>
  </conditionalFormatting>
  <conditionalFormatting sqref="H51">
    <cfRule type="notContainsBlanks" dxfId="157" priority="3514">
      <formula>LEN(TRIM(H51))&gt;0</formula>
    </cfRule>
  </conditionalFormatting>
  <conditionalFormatting sqref="G51">
    <cfRule type="notContainsBlanks" dxfId="156" priority="3513">
      <formula>LEN(TRIM(G51))&gt;0</formula>
    </cfRule>
  </conditionalFormatting>
  <conditionalFormatting sqref="F51">
    <cfRule type="notContainsBlanks" dxfId="155" priority="3512">
      <formula>LEN(TRIM(F51))&gt;0</formula>
    </cfRule>
  </conditionalFormatting>
  <conditionalFormatting sqref="E51">
    <cfRule type="notContainsBlanks" dxfId="154" priority="3511">
      <formula>LEN(TRIM(E51))&gt;0</formula>
    </cfRule>
  </conditionalFormatting>
  <conditionalFormatting sqref="D51">
    <cfRule type="notContainsBlanks" dxfId="153" priority="3510">
      <formula>LEN(TRIM(D51))&gt;0</formula>
    </cfRule>
  </conditionalFormatting>
  <conditionalFormatting sqref="C51">
    <cfRule type="notContainsBlanks" dxfId="152" priority="3509">
      <formula>LEN(TRIM(C51))&gt;0</formula>
    </cfRule>
  </conditionalFormatting>
  <conditionalFormatting sqref="I51">
    <cfRule type="notContainsBlanks" dxfId="151" priority="3508">
      <formula>LEN(TRIM(I51))&gt;0</formula>
    </cfRule>
  </conditionalFormatting>
  <conditionalFormatting sqref="N54">
    <cfRule type="expression" dxfId="150" priority="3505">
      <formula>N54=" "</formula>
    </cfRule>
    <cfRule type="expression" dxfId="149" priority="3506">
      <formula>N54="NO PRESENTÓ CERTIFICADO"</formula>
    </cfRule>
    <cfRule type="expression" dxfId="148" priority="3507">
      <formula>N54="PRESENTÓ CERTIFICADO"</formula>
    </cfRule>
  </conditionalFormatting>
  <conditionalFormatting sqref="P54 P57">
    <cfRule type="expression" dxfId="147" priority="3492">
      <formula>Q54="NO SUBSANABLE"</formula>
    </cfRule>
    <cfRule type="expression" dxfId="146" priority="3494">
      <formula>Q54="REQUERIMIENTOS SUBSANADOS"</formula>
    </cfRule>
    <cfRule type="expression" dxfId="145" priority="3495">
      <formula>Q54="PENDIENTES POR SUBSANAR"</formula>
    </cfRule>
    <cfRule type="expression" dxfId="144" priority="3500">
      <formula>Q54="SIN OBSERVACIÓN"</formula>
    </cfRule>
    <cfRule type="containsBlanks" dxfId="143" priority="3501">
      <formula>LEN(TRIM(P54))=0</formula>
    </cfRule>
  </conditionalFormatting>
  <conditionalFormatting sqref="O54">
    <cfRule type="cellIs" dxfId="142" priority="3493" operator="equal">
      <formula>"PENDIENTE POR DESCRIPCIÓN"</formula>
    </cfRule>
    <cfRule type="cellIs" dxfId="141" priority="3497" operator="equal">
      <formula>"DESCRIPCIÓN INSUFICIENTE"</formula>
    </cfRule>
    <cfRule type="cellIs" dxfId="140" priority="3498" operator="equal">
      <formula>"NO ESTÁ ACORDE A ITEM 5.2.1 (T.R.)"</formula>
    </cfRule>
    <cfRule type="cellIs" dxfId="139" priority="3499" operator="equal">
      <formula>"ACORDE A ITEM 5.2.1 (T.R.)"</formula>
    </cfRule>
  </conditionalFormatting>
  <conditionalFormatting sqref="Q54">
    <cfRule type="containsBlanks" dxfId="138" priority="3487">
      <formula>LEN(TRIM(Q54))=0</formula>
    </cfRule>
    <cfRule type="cellIs" dxfId="137" priority="3496" operator="equal">
      <formula>"REQUERIMIENTOS SUBSANADOS"</formula>
    </cfRule>
    <cfRule type="containsText" dxfId="136" priority="3502" operator="containsText" text="NO SUBSANABLE">
      <formula>NOT(ISERROR(SEARCH("NO SUBSANABLE",Q54)))</formula>
    </cfRule>
    <cfRule type="containsText" dxfId="135" priority="3503" operator="containsText" text="PENDIENTES POR SUBSANAR">
      <formula>NOT(ISERROR(SEARCH("PENDIENTES POR SUBSANAR",Q54)))</formula>
    </cfRule>
    <cfRule type="containsText" dxfId="134" priority="3504" operator="containsText" text="SIN OBSERVACIÓN">
      <formula>NOT(ISERROR(SEARCH("SIN OBSERVACIÓN",Q54)))</formula>
    </cfRule>
  </conditionalFormatting>
  <conditionalFormatting sqref="R54">
    <cfRule type="containsBlanks" dxfId="133" priority="3486">
      <formula>LEN(TRIM(R54))=0</formula>
    </cfRule>
    <cfRule type="cellIs" dxfId="132" priority="3488" operator="equal">
      <formula>"NO CUMPLEN CON LO SOLICITADO"</formula>
    </cfRule>
    <cfRule type="cellIs" dxfId="131" priority="3489" operator="equal">
      <formula>"CUMPLEN CON LO SOLICITADO"</formula>
    </cfRule>
    <cfRule type="cellIs" dxfId="130" priority="3490" operator="equal">
      <formula>"PENDIENTES"</formula>
    </cfRule>
    <cfRule type="cellIs" dxfId="129" priority="3491" operator="equal">
      <formula>"NINGUNO"</formula>
    </cfRule>
  </conditionalFormatting>
  <conditionalFormatting sqref="H54 H57">
    <cfRule type="notContainsBlanks" dxfId="128" priority="3485">
      <formula>LEN(TRIM(H54))&gt;0</formula>
    </cfRule>
  </conditionalFormatting>
  <conditionalFormatting sqref="G54 G57">
    <cfRule type="notContainsBlanks" dxfId="127" priority="3484">
      <formula>LEN(TRIM(G54))&gt;0</formula>
    </cfRule>
  </conditionalFormatting>
  <conditionalFormatting sqref="F54 F57">
    <cfRule type="notContainsBlanks" dxfId="126" priority="3483">
      <formula>LEN(TRIM(F54))&gt;0</formula>
    </cfRule>
  </conditionalFormatting>
  <conditionalFormatting sqref="E54 E57">
    <cfRule type="notContainsBlanks" dxfId="125" priority="3482">
      <formula>LEN(TRIM(E54))&gt;0</formula>
    </cfRule>
  </conditionalFormatting>
  <conditionalFormatting sqref="D54 D57">
    <cfRule type="notContainsBlanks" dxfId="124" priority="3481">
      <formula>LEN(TRIM(D54))&gt;0</formula>
    </cfRule>
  </conditionalFormatting>
  <conditionalFormatting sqref="C54 C57">
    <cfRule type="notContainsBlanks" dxfId="123" priority="3480">
      <formula>LEN(TRIM(C54))&gt;0</formula>
    </cfRule>
  </conditionalFormatting>
  <conditionalFormatting sqref="I54 I57">
    <cfRule type="notContainsBlanks" dxfId="122" priority="3479">
      <formula>LEN(TRIM(I54))&gt;0</formula>
    </cfRule>
  </conditionalFormatting>
  <conditionalFormatting sqref="N60">
    <cfRule type="expression" dxfId="121" priority="3476">
      <formula>N60=" "</formula>
    </cfRule>
    <cfRule type="expression" dxfId="120" priority="3477">
      <formula>N60="NO PRESENTÓ CERTIFICADO"</formula>
    </cfRule>
    <cfRule type="expression" dxfId="119" priority="3478">
      <formula>N60="PRESENTÓ CERTIFICADO"</formula>
    </cfRule>
  </conditionalFormatting>
  <conditionalFormatting sqref="P60">
    <cfRule type="expression" dxfId="118" priority="3463">
      <formula>Q60="NO SUBSANABLE"</formula>
    </cfRule>
    <cfRule type="expression" dxfId="117" priority="3465">
      <formula>Q60="REQUERIMIENTOS SUBSANADOS"</formula>
    </cfRule>
    <cfRule type="expression" dxfId="116" priority="3466">
      <formula>Q60="PENDIENTES POR SUBSANAR"</formula>
    </cfRule>
    <cfRule type="expression" dxfId="115" priority="3471">
      <formula>Q60="SIN OBSERVACIÓN"</formula>
    </cfRule>
    <cfRule type="containsBlanks" dxfId="114" priority="3472">
      <formula>LEN(TRIM(P60))=0</formula>
    </cfRule>
  </conditionalFormatting>
  <conditionalFormatting sqref="O60">
    <cfRule type="cellIs" dxfId="113" priority="3464" operator="equal">
      <formula>"PENDIENTE POR DESCRIPCIÓN"</formula>
    </cfRule>
    <cfRule type="cellIs" dxfId="112" priority="3468" operator="equal">
      <formula>"DESCRIPCIÓN INSUFICIENTE"</formula>
    </cfRule>
    <cfRule type="cellIs" dxfId="111" priority="3469" operator="equal">
      <formula>"NO ESTÁ ACORDE A ITEM 5.2.1 (T.R.)"</formula>
    </cfRule>
    <cfRule type="cellIs" dxfId="110" priority="3470" operator="equal">
      <formula>"ACORDE A ITEM 5.2.1 (T.R.)"</formula>
    </cfRule>
  </conditionalFormatting>
  <conditionalFormatting sqref="Q60">
    <cfRule type="containsBlanks" dxfId="109" priority="3458">
      <formula>LEN(TRIM(Q60))=0</formula>
    </cfRule>
    <cfRule type="cellIs" dxfId="108" priority="3467" operator="equal">
      <formula>"REQUERIMIENTOS SUBSANADOS"</formula>
    </cfRule>
    <cfRule type="containsText" dxfId="107" priority="3473" operator="containsText" text="NO SUBSANABLE">
      <formula>NOT(ISERROR(SEARCH("NO SUBSANABLE",Q60)))</formula>
    </cfRule>
    <cfRule type="containsText" dxfId="106" priority="3474" operator="containsText" text="PENDIENTES POR SUBSANAR">
      <formula>NOT(ISERROR(SEARCH("PENDIENTES POR SUBSANAR",Q60)))</formula>
    </cfRule>
    <cfRule type="containsText" dxfId="105" priority="3475" operator="containsText" text="SIN OBSERVACIÓN">
      <formula>NOT(ISERROR(SEARCH("SIN OBSERVACIÓN",Q60)))</formula>
    </cfRule>
  </conditionalFormatting>
  <conditionalFormatting sqref="R60">
    <cfRule type="containsBlanks" dxfId="104" priority="3457">
      <formula>LEN(TRIM(R60))=0</formula>
    </cfRule>
    <cfRule type="cellIs" dxfId="103" priority="3459" operator="equal">
      <formula>"NO CUMPLEN CON LO SOLICITADO"</formula>
    </cfRule>
    <cfRule type="cellIs" dxfId="102" priority="3460" operator="equal">
      <formula>"CUMPLEN CON LO SOLICITADO"</formula>
    </cfRule>
    <cfRule type="cellIs" dxfId="101" priority="3461" operator="equal">
      <formula>"PENDIENTES"</formula>
    </cfRule>
    <cfRule type="cellIs" dxfId="100" priority="3462" operator="equal">
      <formula>"NINGUNO"</formula>
    </cfRule>
  </conditionalFormatting>
  <conditionalFormatting sqref="H60">
    <cfRule type="notContainsBlanks" dxfId="99" priority="3456">
      <formula>LEN(TRIM(H60))&gt;0</formula>
    </cfRule>
  </conditionalFormatting>
  <conditionalFormatting sqref="G60">
    <cfRule type="notContainsBlanks" dxfId="98" priority="3455">
      <formula>LEN(TRIM(G60))&gt;0</formula>
    </cfRule>
  </conditionalFormatting>
  <conditionalFormatting sqref="F60">
    <cfRule type="notContainsBlanks" dxfId="97" priority="3454">
      <formula>LEN(TRIM(F60))&gt;0</formula>
    </cfRule>
  </conditionalFormatting>
  <conditionalFormatting sqref="E60">
    <cfRule type="notContainsBlanks" dxfId="96" priority="3453">
      <formula>LEN(TRIM(E60))&gt;0</formula>
    </cfRule>
  </conditionalFormatting>
  <conditionalFormatting sqref="D60">
    <cfRule type="notContainsBlanks" dxfId="95" priority="3452">
      <formula>LEN(TRIM(D60))&gt;0</formula>
    </cfRule>
  </conditionalFormatting>
  <conditionalFormatting sqref="C60">
    <cfRule type="notContainsBlanks" dxfId="94" priority="3451">
      <formula>LEN(TRIM(C60))&gt;0</formula>
    </cfRule>
  </conditionalFormatting>
  <conditionalFormatting sqref="I60">
    <cfRule type="notContainsBlanks" dxfId="93" priority="3450">
      <formula>LEN(TRIM(I60))&gt;0</formula>
    </cfRule>
  </conditionalFormatting>
  <conditionalFormatting sqref="N57">
    <cfRule type="expression" dxfId="92" priority="3364">
      <formula>N57=" "</formula>
    </cfRule>
    <cfRule type="expression" dxfId="91" priority="3365">
      <formula>N57="NO PRESENTÓ CERTIFICADO"</formula>
    </cfRule>
    <cfRule type="expression" dxfId="90" priority="3366">
      <formula>N57="PRESENTÓ CERTIFICADO"</formula>
    </cfRule>
  </conditionalFormatting>
  <conditionalFormatting sqref="O57">
    <cfRule type="cellIs" dxfId="89" priority="3360" operator="equal">
      <formula>"PENDIENTE POR DESCRIPCIÓN"</formula>
    </cfRule>
    <cfRule type="cellIs" dxfId="88" priority="3361" operator="equal">
      <formula>"DESCRIPCIÓN INSUFICIENTE"</formula>
    </cfRule>
    <cfRule type="cellIs" dxfId="87" priority="3362" operator="equal">
      <formula>"NO ESTÁ ACORDE A ITEM 5.2.1 (T.R.)"</formula>
    </cfRule>
    <cfRule type="cellIs" dxfId="86" priority="3363" operator="equal">
      <formula>"ACORDE A ITEM 5.2.1 (T.R.)"</formula>
    </cfRule>
  </conditionalFormatting>
  <conditionalFormatting sqref="Q57">
    <cfRule type="containsBlanks" dxfId="85" priority="3351">
      <formula>LEN(TRIM(Q57))=0</formula>
    </cfRule>
    <cfRule type="cellIs" dxfId="84" priority="3356" operator="equal">
      <formula>"REQUERIMIENTOS SUBSANADOS"</formula>
    </cfRule>
    <cfRule type="containsText" dxfId="83" priority="3357" operator="containsText" text="NO SUBSANABLE">
      <formula>NOT(ISERROR(SEARCH("NO SUBSANABLE",Q57)))</formula>
    </cfRule>
    <cfRule type="containsText" dxfId="82" priority="3358" operator="containsText" text="PENDIENTES POR SUBSANAR">
      <formula>NOT(ISERROR(SEARCH("PENDIENTES POR SUBSANAR",Q57)))</formula>
    </cfRule>
    <cfRule type="containsText" dxfId="81" priority="3359" operator="containsText" text="SIN OBSERVACIÓN">
      <formula>NOT(ISERROR(SEARCH("SIN OBSERVACIÓN",Q57)))</formula>
    </cfRule>
  </conditionalFormatting>
  <conditionalFormatting sqref="R57">
    <cfRule type="containsBlanks" dxfId="80" priority="3350">
      <formula>LEN(TRIM(R57))=0</formula>
    </cfRule>
    <cfRule type="cellIs" dxfId="79" priority="3352" operator="equal">
      <formula>"NO CUMPLEN CON LO SOLICITADO"</formula>
    </cfRule>
    <cfRule type="cellIs" dxfId="78" priority="3353" operator="equal">
      <formula>"CUMPLEN CON LO SOLICITADO"</formula>
    </cfRule>
    <cfRule type="cellIs" dxfId="77" priority="3354" operator="equal">
      <formula>"PENDIENTES"</formula>
    </cfRule>
    <cfRule type="cellIs" dxfId="76" priority="3355" operator="equal">
      <formula>"NINGUNO"</formula>
    </cfRule>
  </conditionalFormatting>
  <conditionalFormatting sqref="K16 K19 K22">
    <cfRule type="expression" dxfId="75" priority="31">
      <formula>J16="NO CUMPLE"</formula>
    </cfRule>
    <cfRule type="expression" dxfId="74" priority="32">
      <formula>J16="CUMPLE"</formula>
    </cfRule>
  </conditionalFormatting>
  <conditionalFormatting sqref="M16 M19 M22">
    <cfRule type="expression" dxfId="73" priority="29">
      <formula>L16="NO CUMPLE"</formula>
    </cfRule>
    <cfRule type="expression" dxfId="72" priority="30">
      <formula>L16="CUMPLE"</formula>
    </cfRule>
  </conditionalFormatting>
  <conditionalFormatting sqref="J16 J19 J22">
    <cfRule type="cellIs" dxfId="71" priority="27" operator="equal">
      <formula>"NO CUMPLE"</formula>
    </cfRule>
    <cfRule type="cellIs" dxfId="70" priority="28" operator="equal">
      <formula>"CUMPLE"</formula>
    </cfRule>
  </conditionalFormatting>
  <conditionalFormatting sqref="L16 L19 L22">
    <cfRule type="cellIs" dxfId="69" priority="25" operator="equal">
      <formula>"NO CUMPLE"</formula>
    </cfRule>
    <cfRule type="cellIs" dxfId="68" priority="26" operator="equal">
      <formula>"CUMPLE"</formula>
    </cfRule>
  </conditionalFormatting>
  <conditionalFormatting sqref="K32">
    <cfRule type="expression" dxfId="67" priority="23">
      <formula>J32="NO CUMPLE"</formula>
    </cfRule>
    <cfRule type="expression" dxfId="66" priority="24">
      <formula>J32="CUMPLE"</formula>
    </cfRule>
  </conditionalFormatting>
  <conditionalFormatting sqref="M32">
    <cfRule type="expression" dxfId="65" priority="21">
      <formula>L32="NO CUMPLE"</formula>
    </cfRule>
    <cfRule type="expression" dxfId="64" priority="22">
      <formula>L32="CUMPLE"</formula>
    </cfRule>
  </conditionalFormatting>
  <conditionalFormatting sqref="J32">
    <cfRule type="cellIs" dxfId="63" priority="19" operator="equal">
      <formula>"NO CUMPLE"</formula>
    </cfRule>
    <cfRule type="cellIs" dxfId="62" priority="20" operator="equal">
      <formula>"CUMPLE"</formula>
    </cfRule>
  </conditionalFormatting>
  <conditionalFormatting sqref="L32">
    <cfRule type="cellIs" dxfId="61" priority="17" operator="equal">
      <formula>"NO CUMPLE"</formula>
    </cfRule>
    <cfRule type="cellIs" dxfId="60" priority="18" operator="equal">
      <formula>"CUMPLE"</formula>
    </cfRule>
  </conditionalFormatting>
  <conditionalFormatting sqref="K35 K38 K41">
    <cfRule type="expression" dxfId="59" priority="15">
      <formula>J35="NO CUMPLE"</formula>
    </cfRule>
    <cfRule type="expression" dxfId="58" priority="16">
      <formula>J35="CUMPLE"</formula>
    </cfRule>
  </conditionalFormatting>
  <conditionalFormatting sqref="M35 M38 M41">
    <cfRule type="expression" dxfId="57" priority="13">
      <formula>L35="NO CUMPLE"</formula>
    </cfRule>
    <cfRule type="expression" dxfId="56" priority="14">
      <formula>L35="CUMPLE"</formula>
    </cfRule>
  </conditionalFormatting>
  <conditionalFormatting sqref="J35 J38 J41">
    <cfRule type="cellIs" dxfId="55" priority="11" operator="equal">
      <formula>"NO CUMPLE"</formula>
    </cfRule>
    <cfRule type="cellIs" dxfId="54" priority="12" operator="equal">
      <formula>"CUMPLE"</formula>
    </cfRule>
  </conditionalFormatting>
  <conditionalFormatting sqref="L35 L38 L41">
    <cfRule type="cellIs" dxfId="53" priority="9" operator="equal">
      <formula>"NO CUMPLE"</formula>
    </cfRule>
    <cfRule type="cellIs" dxfId="52" priority="10" operator="equal">
      <formula>"CUMPLE"</formula>
    </cfRule>
  </conditionalFormatting>
  <conditionalFormatting sqref="K51 K54 K57 K60">
    <cfRule type="expression" dxfId="51" priority="7">
      <formula>J51="NO CUMPLE"</formula>
    </cfRule>
    <cfRule type="expression" dxfId="50" priority="8">
      <formula>J51="CUMPLE"</formula>
    </cfRule>
  </conditionalFormatting>
  <conditionalFormatting sqref="M51 M54 M57 M60">
    <cfRule type="expression" dxfId="49" priority="5">
      <formula>L51="NO CUMPLE"</formula>
    </cfRule>
    <cfRule type="expression" dxfId="48" priority="6">
      <formula>L51="CUMPLE"</formula>
    </cfRule>
  </conditionalFormatting>
  <conditionalFormatting sqref="J51 J54 J57 J60">
    <cfRule type="cellIs" dxfId="47" priority="3" operator="equal">
      <formula>"NO CUMPLE"</formula>
    </cfRule>
    <cfRule type="cellIs" dxfId="46" priority="4" operator="equal">
      <formula>"CUMPLE"</formula>
    </cfRule>
  </conditionalFormatting>
  <conditionalFormatting sqref="L51 L54 L57 L60">
    <cfRule type="cellIs" dxfId="45" priority="1" operator="equal">
      <formula>"NO CUMPLE"</formula>
    </cfRule>
    <cfRule type="cellIs" dxfId="44" priority="2" operator="equal">
      <formula>"CUMPLE"</formula>
    </cfRule>
  </conditionalFormatting>
  <dataValidations count="8">
    <dataValidation type="list" allowBlank="1" showInputMessage="1" showErrorMessage="1" sqref="R13 R16 R22 R19 R32 R35 R41 R38 R51 R54 R60 R57">
      <formula1>"NINGUNO, PENDIENTES, CUMPLEN CON LO SOLICITADO, NO CUMPLEN CON LO SOLICITADO"</formula1>
    </dataValidation>
    <dataValidation type="list" allowBlank="1" showInputMessage="1" showErrorMessage="1" sqref="Q13 Q16 Q22 Q32 Q35 Q41 Q19 Q38 Q51 Q54 Q60 Q57">
      <formula1>"SIN OBSERVACIÓN, PENDIENTES POR SUBSANAR, REQUERIMIENTOS SUBSANADOS, NO SUBSANABLE"</formula1>
    </dataValidation>
    <dataValidation type="list" allowBlank="1" showInputMessage="1" showErrorMessage="1" sqref="N13 N16 N22 N19 N32 N35 N41 N38 N51 N54 N60 N57">
      <formula1>"PRESENTÓ CERTIFICADO,NO PRESENTÓ CERTIFICADO"</formula1>
    </dataValidation>
    <dataValidation type="list" allowBlank="1" showInputMessage="1" showErrorMessage="1" sqref="H13 H19 H16 H22 H32 H38 H35 H41 H51 H57 H54 H60">
      <formula1>"I,C,UT"</formula1>
    </dataValidation>
    <dataValidation type="list" allowBlank="1" showInputMessage="1" showErrorMessage="1" sqref="J41 L13 L32 J13 L16 L19 L22 J16 J19 J22 J32 L35 L38 L41 J35 J38 J51 J54 J57 J60 L51 L54 L57 L60">
      <formula1>",CUMPLE,NO CUMPLE"</formula1>
    </dataValidation>
    <dataValidation type="list" allowBlank="1" showInputMessage="1" showErrorMessage="1" sqref="O13 O16 O22 O19 O32 O35 O41 O38 O51 O54 O60 O57">
      <formula1>"ACORDE A ITEM 5.2.1 (T.R.),NO ESTÁ ACORDE A ITEM 5.2.1 (T.R.),DESCRIPCIÓN INSUFICIENTE,PENDIENTE POR DESCRIPCIÓN"</formula1>
    </dataValidation>
    <dataValidation type="list" allowBlank="1" showInputMessage="1" showErrorMessage="1" sqref="B10 B29 B48">
      <formula1>"1,2,3,4,5,6,7,8,9,10,11,12,13,14,15"</formula1>
    </dataValidation>
    <dataValidation type="list" allowBlank="1" showInputMessage="1" showErrorMessage="1" sqref="T32 T13 T51">
      <formula1>"SI,NO"</formula1>
    </dataValidation>
  </dataValidations>
  <pageMargins left="0.7" right="0.7" top="0.75" bottom="0.75" header="0.3" footer="0.3"/>
  <pageSetup paperSize="9" orientation="portrait" horizontalDpi="4294967292"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FF00"/>
  </sheetPr>
  <dimension ref="A1:P13"/>
  <sheetViews>
    <sheetView workbookViewId="0">
      <selection activeCell="J4" sqref="J4"/>
    </sheetView>
  </sheetViews>
  <sheetFormatPr baseColWidth="10" defaultColWidth="11.42578125" defaultRowHeight="15"/>
  <cols>
    <col min="1" max="1" width="6.42578125" style="10" bestFit="1" customWidth="1"/>
    <col min="2" max="2" width="30.42578125" style="10" bestFit="1" customWidth="1"/>
    <col min="3" max="4" width="16.42578125" style="10" bestFit="1" customWidth="1"/>
    <col min="5" max="5" width="6.28515625" style="23" bestFit="1" customWidth="1"/>
    <col min="6" max="6" width="13.42578125" style="23" customWidth="1"/>
    <col min="7" max="7" width="18" style="23" bestFit="1" customWidth="1"/>
    <col min="8" max="8" width="16.42578125" style="23" bestFit="1" customWidth="1"/>
    <col min="9" max="9" width="15.28515625" style="23" bestFit="1" customWidth="1"/>
    <col min="10" max="10" width="18" style="23" customWidth="1"/>
    <col min="11" max="11" width="16" style="10" customWidth="1"/>
    <col min="12" max="12" width="11.42578125" style="10"/>
    <col min="13" max="13" width="11.42578125" style="20"/>
    <col min="14" max="14" width="38" style="10" customWidth="1"/>
    <col min="15" max="15" width="14.85546875" style="21" customWidth="1"/>
    <col min="16" max="16384" width="11.42578125" style="10"/>
  </cols>
  <sheetData>
    <row r="1" spans="1:16" ht="24" customHeight="1">
      <c r="A1" s="575" t="s">
        <v>41</v>
      </c>
      <c r="B1" s="575"/>
      <c r="C1" s="575"/>
      <c r="D1" s="575"/>
      <c r="E1" s="575"/>
      <c r="F1" s="575"/>
      <c r="G1" s="575"/>
      <c r="H1" s="575"/>
      <c r="I1" s="575"/>
      <c r="J1" s="575"/>
      <c r="K1" s="145"/>
      <c r="L1" s="145"/>
      <c r="M1" s="171"/>
      <c r="N1" s="145"/>
      <c r="O1" s="172"/>
      <c r="P1" s="145"/>
    </row>
    <row r="2" spans="1:16" s="22" customFormat="1" ht="15.75" customHeight="1">
      <c r="A2" s="173"/>
      <c r="B2" s="173"/>
      <c r="C2" s="173"/>
      <c r="D2" s="173"/>
      <c r="E2" s="173"/>
      <c r="F2" s="173"/>
      <c r="G2" s="173"/>
      <c r="H2" s="173"/>
      <c r="I2" s="173"/>
      <c r="J2" s="173"/>
      <c r="K2" s="174"/>
      <c r="L2" s="174"/>
      <c r="M2" s="175"/>
      <c r="N2" s="174"/>
      <c r="O2" s="176"/>
      <c r="P2" s="174"/>
    </row>
    <row r="3" spans="1:16" ht="15.75" customHeight="1">
      <c r="A3" s="577" t="s">
        <v>25</v>
      </c>
      <c r="B3" s="577" t="s">
        <v>11</v>
      </c>
      <c r="C3" s="578" t="s">
        <v>7</v>
      </c>
      <c r="D3" s="578"/>
      <c r="E3" s="578"/>
      <c r="F3" s="578"/>
      <c r="G3" s="579" t="s">
        <v>8</v>
      </c>
      <c r="H3" s="579"/>
      <c r="I3" s="579"/>
      <c r="J3" s="579"/>
      <c r="K3" s="145"/>
      <c r="L3" s="145"/>
      <c r="M3" s="171"/>
      <c r="N3" s="145"/>
      <c r="O3" s="172"/>
      <c r="P3" s="145"/>
    </row>
    <row r="4" spans="1:16" ht="35.25" customHeight="1">
      <c r="A4" s="577"/>
      <c r="B4" s="577"/>
      <c r="C4" s="177" t="s">
        <v>130</v>
      </c>
      <c r="D4" s="580" t="s">
        <v>131</v>
      </c>
      <c r="E4" s="581"/>
      <c r="F4" s="178">
        <v>0.6</v>
      </c>
      <c r="G4" s="179" t="s">
        <v>46</v>
      </c>
      <c r="H4" s="582" t="s">
        <v>157</v>
      </c>
      <c r="I4" s="583"/>
      <c r="J4" s="180">
        <v>1075499497</v>
      </c>
      <c r="K4" s="145"/>
      <c r="L4" s="145"/>
      <c r="M4" s="171"/>
      <c r="N4" s="145"/>
      <c r="O4" s="172"/>
      <c r="P4" s="145"/>
    </row>
    <row r="5" spans="1:16" s="12" customFormat="1" ht="27.75" customHeight="1">
      <c r="A5" s="577"/>
      <c r="B5" s="577"/>
      <c r="C5" s="177" t="s">
        <v>9</v>
      </c>
      <c r="D5" s="177" t="s">
        <v>10</v>
      </c>
      <c r="E5" s="177" t="s">
        <v>2</v>
      </c>
      <c r="F5" s="177" t="s">
        <v>70</v>
      </c>
      <c r="G5" s="181" t="s">
        <v>5</v>
      </c>
      <c r="H5" s="181" t="s">
        <v>6</v>
      </c>
      <c r="I5" s="181" t="s">
        <v>2</v>
      </c>
      <c r="J5" s="181" t="s">
        <v>70</v>
      </c>
      <c r="K5" s="148"/>
      <c r="L5" s="148"/>
      <c r="M5" s="576" t="s">
        <v>108</v>
      </c>
      <c r="N5" s="576"/>
      <c r="O5" s="182" t="s">
        <v>107</v>
      </c>
      <c r="P5" s="148"/>
    </row>
    <row r="6" spans="1:16" s="12" customFormat="1" ht="31.5">
      <c r="A6" s="183">
        <f>IF('1_ENTREGA'!A8="","",'1_ENTREGA'!A8)</f>
        <v>1</v>
      </c>
      <c r="B6" s="184" t="str">
        <f t="shared" ref="B6:B8" si="0">IF(A6="","",VLOOKUP(A6,LISTA_OFERENTES,2,FALSE))</f>
        <v>Instrumentación y Servicios S.A.S</v>
      </c>
      <c r="C6" s="185">
        <v>224867028</v>
      </c>
      <c r="D6" s="185">
        <v>1595540547</v>
      </c>
      <c r="E6" s="186">
        <f>IF(B6="","",IF(D6="","",C6/D6))</f>
        <v>0.14093469979362425</v>
      </c>
      <c r="F6" s="187" t="str">
        <f>IF(B6="","",IF(E6&lt;=$F$4,"CUMPLE","NO CUMPLE"))</f>
        <v>CUMPLE</v>
      </c>
      <c r="G6" s="188">
        <v>1179387814</v>
      </c>
      <c r="H6" s="188">
        <v>49405651</v>
      </c>
      <c r="I6" s="186">
        <f>IF(B6="","",IF(G6="","",G6-H6))</f>
        <v>1129982163</v>
      </c>
      <c r="J6" s="187" t="str">
        <f>IF(B6="","",IF(I6="","NO CUMPLE",IF(I6&gt;=$J$4,"CUMPLE","NO CUMPLE")))</f>
        <v>CUMPLE</v>
      </c>
      <c r="K6" s="148"/>
      <c r="L6" s="148"/>
      <c r="M6" s="189">
        <v>1</v>
      </c>
      <c r="N6" s="190" t="str">
        <f t="shared" ref="N6:N8" si="1">VLOOKUP(M6,LISTA_OFERENTES,2,FALSE)</f>
        <v>Instrumentación y Servicios S.A.S</v>
      </c>
      <c r="O6" s="191" t="str">
        <f t="shared" ref="O6:O8" si="2">IF(OR(F6="NO CUMPLE",J6="NO CUMPLE"),"NH","H")</f>
        <v>H</v>
      </c>
      <c r="P6" s="148"/>
    </row>
    <row r="7" spans="1:16" s="12" customFormat="1" ht="15.75">
      <c r="A7" s="183">
        <f>IF('1_ENTREGA'!A9="","",'1_ENTREGA'!A9)</f>
        <v>2</v>
      </c>
      <c r="B7" s="184" t="str">
        <f t="shared" si="0"/>
        <v>CTL Company Ltda</v>
      </c>
      <c r="C7" s="185">
        <v>1456749045</v>
      </c>
      <c r="D7" s="185">
        <v>2577682239</v>
      </c>
      <c r="E7" s="186">
        <f t="shared" ref="E7:E8" si="3">IF(B7="","",IF(D7="","",C7/D7))</f>
        <v>0.56513910945250534</v>
      </c>
      <c r="F7" s="187" t="str">
        <f t="shared" ref="F7:F8" si="4">IF(B7="","",IF(E7&lt;=$F$4,"CUMPLE","NO CUMPLE"))</f>
        <v>CUMPLE</v>
      </c>
      <c r="G7" s="188">
        <v>2535517301</v>
      </c>
      <c r="H7" s="188">
        <v>1456749045</v>
      </c>
      <c r="I7" s="186">
        <f t="shared" ref="I7:I8" si="5">IF(B7="","",IF(G7="","",G7-H7))</f>
        <v>1078768256</v>
      </c>
      <c r="J7" s="187" t="str">
        <f t="shared" ref="J7:J8" si="6">IF(B7="","",IF(I7="","NO CUMPLE",IF(I7&gt;=$J$4,"CUMPLE","NO CUMPLE")))</f>
        <v>CUMPLE</v>
      </c>
      <c r="K7" s="148"/>
      <c r="L7" s="148"/>
      <c r="M7" s="189">
        <v>2</v>
      </c>
      <c r="N7" s="190" t="str">
        <f t="shared" si="1"/>
        <v>CTL Company Ltda</v>
      </c>
      <c r="O7" s="191" t="str">
        <f t="shared" si="2"/>
        <v>H</v>
      </c>
      <c r="P7" s="148"/>
    </row>
    <row r="8" spans="1:16" s="12" customFormat="1" ht="15.75">
      <c r="A8" s="183">
        <f>IF('1_ENTREGA'!A10="","",'1_ENTREGA'!A10)</f>
        <v>3</v>
      </c>
      <c r="B8" s="184" t="str">
        <f t="shared" si="0"/>
        <v>Avantika Colombia S.A.S</v>
      </c>
      <c r="C8" s="185">
        <v>3526700029</v>
      </c>
      <c r="D8" s="185">
        <v>9326698165</v>
      </c>
      <c r="E8" s="186">
        <f t="shared" si="3"/>
        <v>0.37812953379734465</v>
      </c>
      <c r="F8" s="187" t="str">
        <f t="shared" si="4"/>
        <v>CUMPLE</v>
      </c>
      <c r="G8" s="188">
        <v>6903420450</v>
      </c>
      <c r="H8" s="188">
        <v>2388156147</v>
      </c>
      <c r="I8" s="186">
        <f t="shared" si="5"/>
        <v>4515264303</v>
      </c>
      <c r="J8" s="187" t="str">
        <f t="shared" si="6"/>
        <v>CUMPLE</v>
      </c>
      <c r="K8" s="148"/>
      <c r="L8" s="148"/>
      <c r="M8" s="189">
        <v>3</v>
      </c>
      <c r="N8" s="190" t="str">
        <f t="shared" si="1"/>
        <v>Avantika Colombia S.A.S</v>
      </c>
      <c r="O8" s="191" t="str">
        <f t="shared" si="2"/>
        <v>H</v>
      </c>
      <c r="P8" s="148"/>
    </row>
    <row r="9" spans="1:16">
      <c r="A9" s="145"/>
      <c r="B9" s="145"/>
      <c r="C9" s="145"/>
      <c r="D9" s="145"/>
      <c r="E9" s="192"/>
      <c r="F9" s="192"/>
      <c r="G9" s="192"/>
      <c r="H9" s="192"/>
      <c r="I9" s="192"/>
      <c r="J9" s="192"/>
      <c r="K9" s="145"/>
      <c r="L9" s="145"/>
      <c r="M9" s="171"/>
      <c r="N9" s="145"/>
      <c r="O9" s="172"/>
      <c r="P9" s="145"/>
    </row>
    <row r="10" spans="1:16">
      <c r="A10" s="145"/>
      <c r="B10" s="145"/>
      <c r="C10" s="145"/>
      <c r="D10" s="145"/>
      <c r="E10" s="192"/>
      <c r="F10" s="192"/>
      <c r="G10" s="192"/>
      <c r="H10" s="192"/>
      <c r="I10" s="192"/>
      <c r="J10" s="192"/>
      <c r="K10" s="145"/>
      <c r="L10" s="145"/>
      <c r="M10" s="171"/>
      <c r="N10" s="145"/>
      <c r="O10" s="172"/>
      <c r="P10" s="145"/>
    </row>
    <row r="11" spans="1:16">
      <c r="A11" s="145"/>
      <c r="B11" s="145"/>
      <c r="C11" s="145"/>
      <c r="D11" s="145"/>
      <c r="E11" s="192"/>
      <c r="F11" s="192"/>
      <c r="G11" s="192"/>
      <c r="H11" s="192"/>
      <c r="I11" s="192"/>
      <c r="J11" s="192"/>
      <c r="K11" s="145"/>
      <c r="L11" s="145"/>
      <c r="M11" s="171"/>
      <c r="N11" s="145"/>
      <c r="O11" s="172"/>
      <c r="P11" s="145"/>
    </row>
    <row r="12" spans="1:16">
      <c r="A12" s="145"/>
      <c r="B12" s="145"/>
      <c r="C12" s="145"/>
      <c r="D12" s="145"/>
      <c r="E12" s="192"/>
      <c r="F12" s="192"/>
      <c r="G12" s="192"/>
      <c r="H12" s="192"/>
      <c r="I12" s="192"/>
      <c r="J12" s="192"/>
      <c r="K12" s="145"/>
      <c r="L12" s="145"/>
      <c r="M12" s="171"/>
      <c r="N12" s="145"/>
      <c r="O12" s="172"/>
      <c r="P12" s="145"/>
    </row>
    <row r="13" spans="1:16">
      <c r="A13" s="145"/>
      <c r="B13" s="145"/>
      <c r="C13" s="145"/>
      <c r="D13" s="145"/>
      <c r="E13" s="192"/>
      <c r="F13" s="192"/>
      <c r="G13" s="192"/>
      <c r="H13" s="192"/>
      <c r="I13" s="192"/>
      <c r="J13" s="192"/>
      <c r="K13" s="145"/>
      <c r="L13" s="145"/>
      <c r="M13" s="171"/>
      <c r="N13" s="145"/>
      <c r="O13" s="172"/>
      <c r="P13" s="145"/>
    </row>
  </sheetData>
  <sheetProtection algorithmName="SHA-512" hashValue="gTEJ0urv6EWiQm1oFu5uEVfCO2E4J+WiofKNgfnDrywiDcFHA0SLMZEfJhpVYGddqUHHhqehEWQ1JlN3TC2flw==" saltValue="TaZDSgozya11LYgRQCMVEg==" spinCount="100000" sheet="1" objects="1" scenarios="1"/>
  <mergeCells count="8">
    <mergeCell ref="A1:J1"/>
    <mergeCell ref="M5:N5"/>
    <mergeCell ref="A3:A5"/>
    <mergeCell ref="B3:B5"/>
    <mergeCell ref="C3:F3"/>
    <mergeCell ref="G3:J3"/>
    <mergeCell ref="D4:E4"/>
    <mergeCell ref="H4:I4"/>
  </mergeCells>
  <conditionalFormatting sqref="F6:F7">
    <cfRule type="cellIs" dxfId="43" priority="23" operator="equal">
      <formula>"NO CUMPLE"</formula>
    </cfRule>
  </conditionalFormatting>
  <conditionalFormatting sqref="J6:J8">
    <cfRule type="cellIs" dxfId="42" priority="21" operator="equal">
      <formula>"NO CUMPLE"</formula>
    </cfRule>
  </conditionalFormatting>
  <conditionalFormatting sqref="F8">
    <cfRule type="cellIs" dxfId="41" priority="8" operator="equal">
      <formula>"NO CUMPLE"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45"/>
  <sheetViews>
    <sheetView topLeftCell="A25" zoomScale="60" zoomScaleNormal="60" workbookViewId="0">
      <selection activeCell="B43" sqref="B1:BC43"/>
    </sheetView>
  </sheetViews>
  <sheetFormatPr baseColWidth="10" defaultRowHeight="12.75"/>
  <cols>
    <col min="1" max="1" width="3.7109375" style="28" customWidth="1"/>
    <col min="2" max="2" width="22.140625" style="28" customWidth="1"/>
    <col min="3" max="3" width="109.7109375" style="28" customWidth="1"/>
    <col min="4" max="4" width="9.42578125" style="28" bestFit="1" customWidth="1"/>
    <col min="5" max="5" width="15.140625" style="28" customWidth="1"/>
    <col min="6" max="6" width="17.85546875" style="28" bestFit="1" customWidth="1"/>
    <col min="7" max="7" width="27" style="28" customWidth="1"/>
    <col min="8" max="8" width="23.85546875" style="28" customWidth="1"/>
    <col min="9" max="9" width="12.28515625" style="28" customWidth="1"/>
    <col min="10" max="10" width="9.140625" style="28" customWidth="1"/>
    <col min="11" max="11" width="109.7109375" style="28" customWidth="1"/>
    <col min="12" max="12" width="9" style="28" bestFit="1" customWidth="1"/>
    <col min="13" max="13" width="16.140625" style="28" customWidth="1"/>
    <col min="14" max="14" width="20.85546875" style="28" customWidth="1"/>
    <col min="15" max="15" width="28" style="28" customWidth="1"/>
    <col min="16" max="21" width="7.5703125" style="26" customWidth="1"/>
    <col min="22" max="22" width="22" style="26" customWidth="1"/>
    <col min="23" max="23" width="15" style="26" customWidth="1"/>
    <col min="24" max="24" width="9.42578125" style="28" customWidth="1"/>
    <col min="25" max="25" width="8.140625" style="28" customWidth="1"/>
    <col min="26" max="26" width="9.140625" style="28" customWidth="1"/>
    <col min="27" max="27" width="109" style="28" customWidth="1"/>
    <col min="28" max="28" width="12.42578125" style="28" customWidth="1"/>
    <col min="29" max="29" width="10.85546875" style="28" bestFit="1" customWidth="1"/>
    <col min="30" max="30" width="25.5703125" style="28" customWidth="1"/>
    <col min="31" max="31" width="26" style="28" customWidth="1"/>
    <col min="32" max="37" width="7.5703125" style="26" customWidth="1"/>
    <col min="38" max="38" width="22" style="26" customWidth="1"/>
    <col min="39" max="39" width="15" style="26" customWidth="1"/>
    <col min="40" max="41" width="11.42578125" style="28"/>
    <col min="42" max="42" width="9.140625" style="28" customWidth="1"/>
    <col min="43" max="43" width="109" style="28" customWidth="1"/>
    <col min="44" max="44" width="12.7109375" style="28" customWidth="1"/>
    <col min="45" max="45" width="16.5703125" style="28" customWidth="1"/>
    <col min="46" max="46" width="20.7109375" style="28" customWidth="1"/>
    <col min="47" max="47" width="19.42578125" style="28" customWidth="1"/>
    <col min="48" max="53" width="7.5703125" style="26" customWidth="1"/>
    <col min="54" max="54" width="22" style="26" customWidth="1"/>
    <col min="55" max="55" width="15" style="26" customWidth="1"/>
    <col min="56" max="16384" width="11.42578125" style="28"/>
  </cols>
  <sheetData>
    <row r="1" spans="1:74" ht="13.5" thickBot="1">
      <c r="A1" s="193"/>
      <c r="BD1" s="193"/>
      <c r="BE1" s="193"/>
      <c r="BF1" s="193"/>
      <c r="BG1" s="193"/>
      <c r="BH1" s="193"/>
      <c r="BI1" s="193"/>
      <c r="BJ1" s="193"/>
      <c r="BK1" s="193"/>
      <c r="BL1" s="193"/>
      <c r="BM1" s="193"/>
      <c r="BN1" s="193"/>
      <c r="BO1" s="193"/>
      <c r="BP1" s="193"/>
      <c r="BQ1" s="193"/>
      <c r="BR1" s="193"/>
      <c r="BS1" s="193"/>
      <c r="BT1" s="193"/>
      <c r="BU1" s="193"/>
      <c r="BV1" s="193"/>
    </row>
    <row r="2" spans="1:74" ht="13.5" customHeight="1" thickTop="1">
      <c r="A2" s="193"/>
      <c r="J2" s="606">
        <v>1</v>
      </c>
      <c r="K2" s="606" t="s">
        <v>3</v>
      </c>
      <c r="L2" s="608" t="str">
        <f>VLOOKUP(J2,LISTA_OFERENTES,2,FALSE)</f>
        <v>Instrumentación y Servicios S.A.S</v>
      </c>
      <c r="M2" s="609"/>
      <c r="N2" s="609"/>
      <c r="O2" s="610"/>
      <c r="Z2" s="606">
        <v>2</v>
      </c>
      <c r="AA2" s="606" t="s">
        <v>3</v>
      </c>
      <c r="AB2" s="608" t="str">
        <f>VLOOKUP(Z2,LISTA_OFERENTES,2,FALSE)</f>
        <v>CTL Company Ltda</v>
      </c>
      <c r="AC2" s="609"/>
      <c r="AD2" s="609"/>
      <c r="AE2" s="610"/>
      <c r="AP2" s="606">
        <v>3</v>
      </c>
      <c r="AQ2" s="606" t="s">
        <v>3</v>
      </c>
      <c r="AR2" s="608" t="str">
        <f>VLOOKUP(AP2,LISTA_OFERENTES,2,FALSE)</f>
        <v>Avantika Colombia S.A.S</v>
      </c>
      <c r="AS2" s="609"/>
      <c r="AT2" s="609"/>
      <c r="AU2" s="610"/>
      <c r="BD2" s="193"/>
      <c r="BE2" s="193"/>
      <c r="BF2" s="193"/>
      <c r="BG2" s="193"/>
      <c r="BH2" s="193"/>
      <c r="BI2" s="193"/>
      <c r="BJ2" s="193"/>
      <c r="BK2" s="193"/>
      <c r="BL2" s="193"/>
      <c r="BM2" s="193"/>
      <c r="BN2" s="193"/>
      <c r="BO2" s="193"/>
      <c r="BP2" s="193"/>
      <c r="BQ2" s="193"/>
      <c r="BR2" s="193"/>
      <c r="BS2" s="193"/>
      <c r="BT2" s="193"/>
      <c r="BU2" s="193"/>
      <c r="BV2" s="193"/>
    </row>
    <row r="3" spans="1:74" ht="13.5" customHeight="1" thickBot="1">
      <c r="A3" s="193"/>
      <c r="J3" s="607"/>
      <c r="K3" s="607"/>
      <c r="L3" s="611"/>
      <c r="M3" s="612"/>
      <c r="N3" s="612"/>
      <c r="O3" s="613"/>
      <c r="Z3" s="607"/>
      <c r="AA3" s="607"/>
      <c r="AB3" s="614"/>
      <c r="AC3" s="615"/>
      <c r="AD3" s="615"/>
      <c r="AE3" s="616"/>
      <c r="AP3" s="607"/>
      <c r="AQ3" s="607"/>
      <c r="AR3" s="611"/>
      <c r="AS3" s="612"/>
      <c r="AT3" s="612"/>
      <c r="AU3" s="613"/>
      <c r="BD3" s="193"/>
      <c r="BE3" s="193"/>
      <c r="BF3" s="193"/>
      <c r="BG3" s="193"/>
      <c r="BH3" s="193"/>
      <c r="BI3" s="193"/>
      <c r="BJ3" s="193"/>
      <c r="BK3" s="193"/>
      <c r="BL3" s="193"/>
      <c r="BM3" s="193"/>
      <c r="BN3" s="193"/>
      <c r="BO3" s="193"/>
      <c r="BP3" s="193"/>
      <c r="BQ3" s="193"/>
      <c r="BR3" s="193"/>
      <c r="BS3" s="193"/>
      <c r="BT3" s="193"/>
      <c r="BU3" s="193"/>
      <c r="BV3" s="193"/>
    </row>
    <row r="4" spans="1:74" ht="19.5" customHeight="1" thickTop="1" thickBot="1">
      <c r="A4" s="193"/>
      <c r="B4" s="617" t="s">
        <v>132</v>
      </c>
      <c r="C4" s="618"/>
      <c r="D4" s="631" t="s">
        <v>4</v>
      </c>
      <c r="E4" s="632"/>
      <c r="F4" s="632"/>
      <c r="G4" s="633"/>
      <c r="J4" s="617" t="s">
        <v>115</v>
      </c>
      <c r="K4" s="618"/>
      <c r="L4" s="631" t="s">
        <v>4</v>
      </c>
      <c r="M4" s="632"/>
      <c r="N4" s="632"/>
      <c r="O4" s="633"/>
      <c r="P4" s="623" t="s">
        <v>116</v>
      </c>
      <c r="Q4" s="623" t="s">
        <v>94</v>
      </c>
      <c r="R4" s="623" t="s">
        <v>95</v>
      </c>
      <c r="S4" s="628" t="s">
        <v>96</v>
      </c>
      <c r="T4" s="628" t="s">
        <v>97</v>
      </c>
      <c r="U4" s="623" t="s">
        <v>98</v>
      </c>
      <c r="V4" s="623" t="s">
        <v>99</v>
      </c>
      <c r="W4" s="623" t="s">
        <v>100</v>
      </c>
      <c r="Z4" s="617" t="s">
        <v>115</v>
      </c>
      <c r="AA4" s="618"/>
      <c r="AB4" s="631" t="s">
        <v>4</v>
      </c>
      <c r="AC4" s="632"/>
      <c r="AD4" s="632"/>
      <c r="AE4" s="633"/>
      <c r="AF4" s="623" t="s">
        <v>116</v>
      </c>
      <c r="AG4" s="623" t="s">
        <v>94</v>
      </c>
      <c r="AH4" s="623" t="s">
        <v>95</v>
      </c>
      <c r="AI4" s="628" t="s">
        <v>96</v>
      </c>
      <c r="AJ4" s="628" t="s">
        <v>97</v>
      </c>
      <c r="AK4" s="623" t="s">
        <v>98</v>
      </c>
      <c r="AL4" s="623" t="s">
        <v>99</v>
      </c>
      <c r="AM4" s="623" t="s">
        <v>100</v>
      </c>
      <c r="AP4" s="617" t="s">
        <v>115</v>
      </c>
      <c r="AQ4" s="618"/>
      <c r="AR4" s="631" t="s">
        <v>4</v>
      </c>
      <c r="AS4" s="632"/>
      <c r="AT4" s="632"/>
      <c r="AU4" s="633"/>
      <c r="AV4" s="623" t="s">
        <v>116</v>
      </c>
      <c r="AW4" s="623" t="s">
        <v>94</v>
      </c>
      <c r="AX4" s="623" t="s">
        <v>95</v>
      </c>
      <c r="AY4" s="628" t="s">
        <v>96</v>
      </c>
      <c r="AZ4" s="628" t="s">
        <v>97</v>
      </c>
      <c r="BA4" s="623" t="s">
        <v>98</v>
      </c>
      <c r="BB4" s="623" t="s">
        <v>99</v>
      </c>
      <c r="BC4" s="623" t="s">
        <v>100</v>
      </c>
      <c r="BD4" s="193"/>
      <c r="BE4" s="193"/>
      <c r="BF4" s="193"/>
      <c r="BG4" s="193"/>
      <c r="BH4" s="193"/>
      <c r="BI4" s="193"/>
      <c r="BJ4" s="193"/>
      <c r="BK4" s="193"/>
      <c r="BL4" s="193"/>
      <c r="BM4" s="193"/>
      <c r="BN4" s="193"/>
      <c r="BO4" s="193"/>
      <c r="BP4" s="193"/>
      <c r="BQ4" s="193"/>
      <c r="BR4" s="193"/>
      <c r="BS4" s="193"/>
      <c r="BT4" s="193"/>
      <c r="BU4" s="193"/>
      <c r="BV4" s="193"/>
    </row>
    <row r="5" spans="1:74" ht="13.5" customHeight="1" thickTop="1">
      <c r="A5" s="193"/>
      <c r="B5" s="619"/>
      <c r="C5" s="620"/>
      <c r="D5" s="634" t="s">
        <v>146</v>
      </c>
      <c r="E5" s="635"/>
      <c r="F5" s="635"/>
      <c r="G5" s="636"/>
      <c r="J5" s="619"/>
      <c r="K5" s="620"/>
      <c r="L5" s="634" t="s">
        <v>146</v>
      </c>
      <c r="M5" s="635"/>
      <c r="N5" s="635"/>
      <c r="O5" s="636"/>
      <c r="P5" s="624"/>
      <c r="Q5" s="624"/>
      <c r="R5" s="624"/>
      <c r="S5" s="629"/>
      <c r="T5" s="629"/>
      <c r="U5" s="624"/>
      <c r="V5" s="624"/>
      <c r="W5" s="624"/>
      <c r="Z5" s="619"/>
      <c r="AA5" s="620"/>
      <c r="AB5" s="634" t="s">
        <v>146</v>
      </c>
      <c r="AC5" s="635"/>
      <c r="AD5" s="635"/>
      <c r="AE5" s="636"/>
      <c r="AF5" s="624"/>
      <c r="AG5" s="624"/>
      <c r="AH5" s="624"/>
      <c r="AI5" s="629"/>
      <c r="AJ5" s="629"/>
      <c r="AK5" s="624"/>
      <c r="AL5" s="624"/>
      <c r="AM5" s="624"/>
      <c r="AP5" s="619"/>
      <c r="AQ5" s="620"/>
      <c r="AR5" s="634" t="s">
        <v>146</v>
      </c>
      <c r="AS5" s="635"/>
      <c r="AT5" s="635"/>
      <c r="AU5" s="636"/>
      <c r="AV5" s="624"/>
      <c r="AW5" s="624"/>
      <c r="AX5" s="624"/>
      <c r="AY5" s="629"/>
      <c r="AZ5" s="629"/>
      <c r="BA5" s="624"/>
      <c r="BB5" s="624"/>
      <c r="BC5" s="624"/>
      <c r="BD5" s="193"/>
      <c r="BE5" s="193"/>
      <c r="BF5" s="193"/>
      <c r="BG5" s="193"/>
      <c r="BH5" s="193"/>
      <c r="BI5" s="193"/>
      <c r="BJ5" s="193"/>
      <c r="BK5" s="193"/>
      <c r="BL5" s="193"/>
      <c r="BM5" s="193"/>
      <c r="BN5" s="193"/>
      <c r="BO5" s="193"/>
      <c r="BP5" s="193"/>
      <c r="BQ5" s="193"/>
      <c r="BR5" s="193"/>
      <c r="BS5" s="193"/>
      <c r="BT5" s="193"/>
      <c r="BU5" s="193"/>
      <c r="BV5" s="193"/>
    </row>
    <row r="6" spans="1:74" ht="12.75" customHeight="1">
      <c r="A6" s="193"/>
      <c r="B6" s="619"/>
      <c r="C6" s="620"/>
      <c r="D6" s="637"/>
      <c r="E6" s="638"/>
      <c r="F6" s="638"/>
      <c r="G6" s="639"/>
      <c r="J6" s="619"/>
      <c r="K6" s="620"/>
      <c r="L6" s="637"/>
      <c r="M6" s="638"/>
      <c r="N6" s="638"/>
      <c r="O6" s="639"/>
      <c r="P6" s="624"/>
      <c r="Q6" s="624"/>
      <c r="R6" s="624"/>
      <c r="S6" s="629"/>
      <c r="T6" s="629"/>
      <c r="U6" s="624"/>
      <c r="V6" s="624"/>
      <c r="W6" s="624"/>
      <c r="Z6" s="619"/>
      <c r="AA6" s="620"/>
      <c r="AB6" s="637"/>
      <c r="AC6" s="638"/>
      <c r="AD6" s="638"/>
      <c r="AE6" s="639"/>
      <c r="AF6" s="624"/>
      <c r="AG6" s="624"/>
      <c r="AH6" s="624"/>
      <c r="AI6" s="629"/>
      <c r="AJ6" s="629"/>
      <c r="AK6" s="624"/>
      <c r="AL6" s="624"/>
      <c r="AM6" s="624"/>
      <c r="AP6" s="619"/>
      <c r="AQ6" s="620"/>
      <c r="AR6" s="637"/>
      <c r="AS6" s="638"/>
      <c r="AT6" s="638"/>
      <c r="AU6" s="639"/>
      <c r="AV6" s="624"/>
      <c r="AW6" s="624"/>
      <c r="AX6" s="624"/>
      <c r="AY6" s="629"/>
      <c r="AZ6" s="629"/>
      <c r="BA6" s="624"/>
      <c r="BB6" s="624"/>
      <c r="BC6" s="624"/>
      <c r="BD6" s="193"/>
      <c r="BE6" s="193"/>
      <c r="BF6" s="193"/>
      <c r="BG6" s="193"/>
      <c r="BH6" s="193"/>
      <c r="BI6" s="193"/>
      <c r="BJ6" s="193"/>
      <c r="BK6" s="193"/>
      <c r="BL6" s="193"/>
      <c r="BM6" s="193"/>
      <c r="BN6" s="193"/>
      <c r="BO6" s="193"/>
      <c r="BP6" s="193"/>
      <c r="BQ6" s="193"/>
      <c r="BR6" s="193"/>
      <c r="BS6" s="193"/>
      <c r="BT6" s="193"/>
      <c r="BU6" s="193"/>
      <c r="BV6" s="193"/>
    </row>
    <row r="7" spans="1:74" ht="13.5" customHeight="1" thickBot="1">
      <c r="A7" s="193"/>
      <c r="B7" s="619"/>
      <c r="C7" s="620"/>
      <c r="D7" s="640"/>
      <c r="E7" s="641"/>
      <c r="F7" s="641"/>
      <c r="G7" s="642"/>
      <c r="J7" s="619"/>
      <c r="K7" s="620"/>
      <c r="L7" s="640"/>
      <c r="M7" s="641"/>
      <c r="N7" s="641"/>
      <c r="O7" s="642"/>
      <c r="P7" s="624"/>
      <c r="Q7" s="624"/>
      <c r="R7" s="624"/>
      <c r="S7" s="629"/>
      <c r="T7" s="629"/>
      <c r="U7" s="624"/>
      <c r="V7" s="624"/>
      <c r="W7" s="624"/>
      <c r="Z7" s="619"/>
      <c r="AA7" s="620"/>
      <c r="AB7" s="640"/>
      <c r="AC7" s="641"/>
      <c r="AD7" s="641"/>
      <c r="AE7" s="642"/>
      <c r="AF7" s="624"/>
      <c r="AG7" s="624"/>
      <c r="AH7" s="624"/>
      <c r="AI7" s="629"/>
      <c r="AJ7" s="629"/>
      <c r="AK7" s="624"/>
      <c r="AL7" s="624"/>
      <c r="AM7" s="624"/>
      <c r="AP7" s="619"/>
      <c r="AQ7" s="620"/>
      <c r="AR7" s="640"/>
      <c r="AS7" s="641"/>
      <c r="AT7" s="641"/>
      <c r="AU7" s="642"/>
      <c r="AV7" s="624"/>
      <c r="AW7" s="624"/>
      <c r="AX7" s="624"/>
      <c r="AY7" s="629"/>
      <c r="AZ7" s="629"/>
      <c r="BA7" s="624"/>
      <c r="BB7" s="624"/>
      <c r="BC7" s="624"/>
      <c r="BD7" s="193"/>
      <c r="BE7" s="193"/>
      <c r="BF7" s="193"/>
      <c r="BG7" s="193"/>
      <c r="BH7" s="193"/>
      <c r="BI7" s="193"/>
      <c r="BJ7" s="193"/>
      <c r="BK7" s="193"/>
      <c r="BL7" s="193"/>
      <c r="BM7" s="193"/>
      <c r="BN7" s="193"/>
      <c r="BO7" s="193"/>
      <c r="BP7" s="193"/>
      <c r="BQ7" s="193"/>
      <c r="BR7" s="193"/>
      <c r="BS7" s="193"/>
      <c r="BT7" s="193"/>
      <c r="BU7" s="193"/>
      <c r="BV7" s="193"/>
    </row>
    <row r="8" spans="1:74" ht="19.5" customHeight="1" thickTop="1">
      <c r="A8" s="193"/>
      <c r="B8" s="619"/>
      <c r="C8" s="620"/>
      <c r="D8" s="626" t="s">
        <v>118</v>
      </c>
      <c r="E8" s="643" t="str">
        <f>'1_ENTREGA'!$A$4</f>
        <v xml:space="preserve">“Compraventa, transporte, instalación y puesta en servicio de: once (11) cabinas de extracción, seis (6) cabinas de flujo laminar vertical, una (1) cabina PCR (cabina para la reacción en cadena de la polimerasa), bases, conexión de ventilador a control integrado a las cabinas de extracción, conexión de abasto de agua y desagüe al interior de los laboratorios, conexión de gases especiales, pruebas para calificación, y demás elementos necesarios para su correcto funcionamiento, en la Seccional Oriente de la Universidad de Antioquia, por precios unitarios fijos no reajustables, conforme conforme con los planos, cantidades y especificaciones técnicas.” </v>
      </c>
      <c r="F8" s="644"/>
      <c r="G8" s="645"/>
      <c r="J8" s="619"/>
      <c r="K8" s="620"/>
      <c r="L8" s="626" t="s">
        <v>118</v>
      </c>
      <c r="M8" s="643" t="str">
        <f>'1_ENTREGA'!$A$4</f>
        <v xml:space="preserve">“Compraventa, transporte, instalación y puesta en servicio de: once (11) cabinas de extracción, seis (6) cabinas de flujo laminar vertical, una (1) cabina PCR (cabina para la reacción en cadena de la polimerasa), bases, conexión de ventilador a control integrado a las cabinas de extracción, conexión de abasto de agua y desagüe al interior de los laboratorios, conexión de gases especiales, pruebas para calificación, y demás elementos necesarios para su correcto funcionamiento, en la Seccional Oriente de la Universidad de Antioquia, por precios unitarios fijos no reajustables, conforme conforme con los planos, cantidades y especificaciones técnicas.” </v>
      </c>
      <c r="N8" s="644"/>
      <c r="O8" s="645"/>
      <c r="P8" s="624"/>
      <c r="Q8" s="624"/>
      <c r="R8" s="624"/>
      <c r="S8" s="629"/>
      <c r="T8" s="629"/>
      <c r="U8" s="624"/>
      <c r="V8" s="624"/>
      <c r="W8" s="624"/>
      <c r="Z8" s="619"/>
      <c r="AA8" s="620"/>
      <c r="AB8" s="626" t="s">
        <v>118</v>
      </c>
      <c r="AC8" s="643" t="str">
        <f>'1_ENTREGA'!$A$4</f>
        <v xml:space="preserve">“Compraventa, transporte, instalación y puesta en servicio de: once (11) cabinas de extracción, seis (6) cabinas de flujo laminar vertical, una (1) cabina PCR (cabina para la reacción en cadena de la polimerasa), bases, conexión de ventilador a control integrado a las cabinas de extracción, conexión de abasto de agua y desagüe al interior de los laboratorios, conexión de gases especiales, pruebas para calificación, y demás elementos necesarios para su correcto funcionamiento, en la Seccional Oriente de la Universidad de Antioquia, por precios unitarios fijos no reajustables, conforme conforme con los planos, cantidades y especificaciones técnicas.” </v>
      </c>
      <c r="AD8" s="644"/>
      <c r="AE8" s="645"/>
      <c r="AF8" s="624"/>
      <c r="AG8" s="624"/>
      <c r="AH8" s="624"/>
      <c r="AI8" s="629"/>
      <c r="AJ8" s="629"/>
      <c r="AK8" s="624"/>
      <c r="AL8" s="624"/>
      <c r="AM8" s="624"/>
      <c r="AP8" s="619"/>
      <c r="AQ8" s="620"/>
      <c r="AR8" s="626" t="s">
        <v>118</v>
      </c>
      <c r="AS8" s="643" t="str">
        <f>'1_ENTREGA'!$A$4</f>
        <v xml:space="preserve">“Compraventa, transporte, instalación y puesta en servicio de: once (11) cabinas de extracción, seis (6) cabinas de flujo laminar vertical, una (1) cabina PCR (cabina para la reacción en cadena de la polimerasa), bases, conexión de ventilador a control integrado a las cabinas de extracción, conexión de abasto de agua y desagüe al interior de los laboratorios, conexión de gases especiales, pruebas para calificación, y demás elementos necesarios para su correcto funcionamiento, en la Seccional Oriente de la Universidad de Antioquia, por precios unitarios fijos no reajustables, conforme conforme con los planos, cantidades y especificaciones técnicas.” </v>
      </c>
      <c r="AT8" s="644"/>
      <c r="AU8" s="645"/>
      <c r="AV8" s="624"/>
      <c r="AW8" s="624"/>
      <c r="AX8" s="624"/>
      <c r="AY8" s="629"/>
      <c r="AZ8" s="629"/>
      <c r="BA8" s="624"/>
      <c r="BB8" s="624"/>
      <c r="BC8" s="624"/>
      <c r="BD8" s="193"/>
      <c r="BE8" s="193"/>
      <c r="BF8" s="193"/>
      <c r="BG8" s="193"/>
      <c r="BH8" s="193"/>
      <c r="BI8" s="193"/>
      <c r="BJ8" s="193"/>
      <c r="BK8" s="193"/>
      <c r="BL8" s="193"/>
      <c r="BM8" s="193"/>
      <c r="BN8" s="193"/>
      <c r="BO8" s="193"/>
      <c r="BP8" s="193"/>
      <c r="BQ8" s="193"/>
      <c r="BR8" s="193"/>
      <c r="BS8" s="193"/>
      <c r="BT8" s="193"/>
      <c r="BU8" s="193"/>
      <c r="BV8" s="193"/>
    </row>
    <row r="9" spans="1:74" ht="211.5" customHeight="1" thickBot="1">
      <c r="A9" s="193"/>
      <c r="B9" s="621"/>
      <c r="C9" s="622"/>
      <c r="D9" s="627"/>
      <c r="E9" s="646"/>
      <c r="F9" s="647"/>
      <c r="G9" s="648"/>
      <c r="J9" s="621"/>
      <c r="K9" s="622"/>
      <c r="L9" s="627"/>
      <c r="M9" s="646"/>
      <c r="N9" s="647"/>
      <c r="O9" s="648"/>
      <c r="P9" s="624"/>
      <c r="Q9" s="624"/>
      <c r="R9" s="624"/>
      <c r="S9" s="629"/>
      <c r="T9" s="629"/>
      <c r="U9" s="624"/>
      <c r="V9" s="624"/>
      <c r="W9" s="624"/>
      <c r="Z9" s="621"/>
      <c r="AA9" s="622"/>
      <c r="AB9" s="627"/>
      <c r="AC9" s="646"/>
      <c r="AD9" s="647"/>
      <c r="AE9" s="648"/>
      <c r="AF9" s="624"/>
      <c r="AG9" s="624"/>
      <c r="AH9" s="624"/>
      <c r="AI9" s="629"/>
      <c r="AJ9" s="629"/>
      <c r="AK9" s="624"/>
      <c r="AL9" s="624"/>
      <c r="AM9" s="624"/>
      <c r="AP9" s="621"/>
      <c r="AQ9" s="622"/>
      <c r="AR9" s="627"/>
      <c r="AS9" s="646"/>
      <c r="AT9" s="647"/>
      <c r="AU9" s="648"/>
      <c r="AV9" s="624"/>
      <c r="AW9" s="624"/>
      <c r="AX9" s="624"/>
      <c r="AY9" s="629"/>
      <c r="AZ9" s="629"/>
      <c r="BA9" s="624"/>
      <c r="BB9" s="624"/>
      <c r="BC9" s="624"/>
      <c r="BD9" s="193"/>
      <c r="BE9" s="193"/>
      <c r="BF9" s="193"/>
      <c r="BG9" s="193"/>
      <c r="BH9" s="193"/>
      <c r="BI9" s="193"/>
      <c r="BJ9" s="193"/>
      <c r="BK9" s="193"/>
      <c r="BL9" s="193"/>
      <c r="BM9" s="193"/>
      <c r="BN9" s="193"/>
      <c r="BO9" s="193"/>
      <c r="BP9" s="193"/>
      <c r="BQ9" s="193"/>
      <c r="BR9" s="193"/>
      <c r="BS9" s="193"/>
      <c r="BT9" s="193"/>
      <c r="BU9" s="193"/>
      <c r="BV9" s="193"/>
    </row>
    <row r="10" spans="1:74" ht="31.5" customHeight="1" thickTop="1" thickBot="1">
      <c r="A10" s="193"/>
      <c r="B10" s="259" t="s">
        <v>14</v>
      </c>
      <c r="C10" s="260" t="s">
        <v>119</v>
      </c>
      <c r="D10" s="261" t="s">
        <v>89</v>
      </c>
      <c r="E10" s="262" t="s">
        <v>90</v>
      </c>
      <c r="F10" s="263" t="s">
        <v>91</v>
      </c>
      <c r="G10" s="264" t="s">
        <v>92</v>
      </c>
      <c r="J10" s="259" t="s">
        <v>14</v>
      </c>
      <c r="K10" s="260" t="s">
        <v>119</v>
      </c>
      <c r="L10" s="261" t="s">
        <v>89</v>
      </c>
      <c r="M10" s="262" t="s">
        <v>90</v>
      </c>
      <c r="N10" s="263" t="s">
        <v>91</v>
      </c>
      <c r="O10" s="264" t="s">
        <v>92</v>
      </c>
      <c r="P10" s="624"/>
      <c r="Q10" s="624"/>
      <c r="R10" s="624"/>
      <c r="S10" s="629"/>
      <c r="T10" s="629"/>
      <c r="U10" s="624"/>
      <c r="V10" s="624"/>
      <c r="W10" s="624"/>
      <c r="Y10" s="265"/>
      <c r="Z10" s="259" t="s">
        <v>14</v>
      </c>
      <c r="AA10" s="260" t="s">
        <v>119</v>
      </c>
      <c r="AB10" s="261" t="s">
        <v>89</v>
      </c>
      <c r="AC10" s="262" t="s">
        <v>90</v>
      </c>
      <c r="AD10" s="263" t="s">
        <v>91</v>
      </c>
      <c r="AE10" s="264" t="s">
        <v>92</v>
      </c>
      <c r="AF10" s="624"/>
      <c r="AG10" s="624"/>
      <c r="AH10" s="624"/>
      <c r="AI10" s="629"/>
      <c r="AJ10" s="629"/>
      <c r="AK10" s="624"/>
      <c r="AL10" s="624"/>
      <c r="AM10" s="624"/>
      <c r="AN10" s="266"/>
      <c r="AP10" s="259" t="s">
        <v>14</v>
      </c>
      <c r="AQ10" s="260" t="s">
        <v>119</v>
      </c>
      <c r="AR10" s="261" t="s">
        <v>89</v>
      </c>
      <c r="AS10" s="262" t="s">
        <v>90</v>
      </c>
      <c r="AT10" s="263" t="s">
        <v>91</v>
      </c>
      <c r="AU10" s="264" t="s">
        <v>92</v>
      </c>
      <c r="AV10" s="624"/>
      <c r="AW10" s="624"/>
      <c r="AX10" s="624"/>
      <c r="AY10" s="629"/>
      <c r="AZ10" s="629"/>
      <c r="BA10" s="624"/>
      <c r="BB10" s="624"/>
      <c r="BC10" s="624"/>
      <c r="BD10" s="193"/>
      <c r="BE10" s="193"/>
      <c r="BF10" s="193"/>
      <c r="BG10" s="193"/>
      <c r="BH10" s="193"/>
      <c r="BI10" s="193"/>
      <c r="BJ10" s="193"/>
      <c r="BK10" s="193"/>
      <c r="BL10" s="193"/>
      <c r="BM10" s="193"/>
      <c r="BN10" s="193"/>
      <c r="BO10" s="193"/>
      <c r="BP10" s="193"/>
      <c r="BQ10" s="193"/>
      <c r="BR10" s="193"/>
      <c r="BS10" s="193"/>
      <c r="BT10" s="193"/>
      <c r="BU10" s="193"/>
      <c r="BV10" s="193"/>
    </row>
    <row r="11" spans="1:74" ht="18" thickTop="1" thickBot="1">
      <c r="A11" s="193"/>
      <c r="B11" s="267" t="s">
        <v>183</v>
      </c>
      <c r="C11" s="268" t="s">
        <v>184</v>
      </c>
      <c r="D11" s="269"/>
      <c r="E11" s="270"/>
      <c r="F11" s="271"/>
      <c r="G11" s="272">
        <f>+SUM(G12:G16)</f>
        <v>0</v>
      </c>
      <c r="J11" s="273" t="s">
        <v>183</v>
      </c>
      <c r="K11" s="274" t="s">
        <v>184</v>
      </c>
      <c r="L11" s="275"/>
      <c r="M11" s="276"/>
      <c r="N11" s="277"/>
      <c r="O11" s="278">
        <f>+SUM(O12:O16)</f>
        <v>441930093</v>
      </c>
      <c r="P11" s="625"/>
      <c r="Q11" s="625"/>
      <c r="R11" s="625"/>
      <c r="S11" s="630"/>
      <c r="T11" s="630"/>
      <c r="U11" s="625"/>
      <c r="V11" s="625"/>
      <c r="W11" s="625"/>
      <c r="X11" s="279"/>
      <c r="Y11" s="266"/>
      <c r="Z11" s="273" t="s">
        <v>183</v>
      </c>
      <c r="AA11" s="274" t="s">
        <v>184</v>
      </c>
      <c r="AB11" s="275"/>
      <c r="AC11" s="276"/>
      <c r="AD11" s="277"/>
      <c r="AE11" s="278">
        <f>+SUM(AE12:AE16)</f>
        <v>364045020</v>
      </c>
      <c r="AF11" s="625"/>
      <c r="AG11" s="625"/>
      <c r="AH11" s="625"/>
      <c r="AI11" s="630"/>
      <c r="AJ11" s="630"/>
      <c r="AK11" s="625"/>
      <c r="AL11" s="625"/>
      <c r="AM11" s="625"/>
      <c r="AN11" s="266"/>
      <c r="AP11" s="280" t="s">
        <v>183</v>
      </c>
      <c r="AQ11" s="281" t="s">
        <v>184</v>
      </c>
      <c r="AR11" s="282"/>
      <c r="AS11" s="283"/>
      <c r="AT11" s="284"/>
      <c r="AU11" s="285">
        <f>+SUM(AU12:AU16)</f>
        <v>389241800</v>
      </c>
      <c r="AV11" s="625"/>
      <c r="AW11" s="625"/>
      <c r="AX11" s="625"/>
      <c r="AY11" s="630"/>
      <c r="AZ11" s="630"/>
      <c r="BA11" s="625"/>
      <c r="BB11" s="625"/>
      <c r="BC11" s="625"/>
      <c r="BD11" s="193"/>
      <c r="BE11" s="193"/>
      <c r="BF11" s="193"/>
      <c r="BG11" s="193"/>
      <c r="BH11" s="193"/>
      <c r="BI11" s="193"/>
      <c r="BJ11" s="193"/>
      <c r="BK11" s="193"/>
      <c r="BL11" s="193"/>
      <c r="BM11" s="193"/>
      <c r="BN11" s="193"/>
      <c r="BO11" s="193"/>
      <c r="BP11" s="193"/>
      <c r="BQ11" s="193"/>
      <c r="BR11" s="193"/>
      <c r="BS11" s="193"/>
      <c r="BT11" s="193"/>
      <c r="BU11" s="193"/>
      <c r="BV11" s="193"/>
    </row>
    <row r="12" spans="1:74" ht="90.75" thickTop="1">
      <c r="A12" s="193"/>
      <c r="B12" s="286">
        <v>1.1000000000000001</v>
      </c>
      <c r="C12" s="287" t="s">
        <v>185</v>
      </c>
      <c r="D12" s="288" t="s">
        <v>158</v>
      </c>
      <c r="E12" s="289">
        <v>4</v>
      </c>
      <c r="F12" s="290">
        <v>0</v>
      </c>
      <c r="G12" s="291">
        <f>ROUND(E12*F12,0)</f>
        <v>0</v>
      </c>
      <c r="H12" s="266"/>
      <c r="J12" s="292">
        <v>1.1000000000000001</v>
      </c>
      <c r="K12" s="293" t="s">
        <v>185</v>
      </c>
      <c r="L12" s="294" t="s">
        <v>158</v>
      </c>
      <c r="M12" s="295">
        <v>4</v>
      </c>
      <c r="N12" s="296">
        <v>45476243</v>
      </c>
      <c r="O12" s="297">
        <f>ROUND(M12*N12,0)</f>
        <v>181904972</v>
      </c>
      <c r="P12" s="298">
        <f t="shared" ref="P12:P30" si="0">IF(EXACT(VLOOKUP(J12,OFERTA_0,2,FALSE),K12),1,0)</f>
        <v>1</v>
      </c>
      <c r="Q12" s="298">
        <f t="shared" ref="Q12:Q30" si="1">IF(EXACT(VLOOKUP(J12,OFERTA_0,3,FALSE),L12),1,0)</f>
        <v>1</v>
      </c>
      <c r="R12" s="299">
        <f t="shared" ref="R12:R30" si="2">IF(EXACT(VLOOKUP(J12,OFERTA_0,4,FALSE),M12),1,0)</f>
        <v>1</v>
      </c>
      <c r="S12" s="299">
        <f t="shared" ref="S12:T16" si="3">IF(N12=0,0,1)</f>
        <v>1</v>
      </c>
      <c r="T12" s="299">
        <f t="shared" si="3"/>
        <v>1</v>
      </c>
      <c r="U12" s="299">
        <f>PRODUCT(P12:T12)</f>
        <v>1</v>
      </c>
      <c r="V12" s="300">
        <f t="shared" ref="V12:V30" si="4">ROUND(O12,0)</f>
        <v>181904972</v>
      </c>
      <c r="W12" s="301">
        <f t="shared" ref="W12:W30" si="5">O12-V12</f>
        <v>0</v>
      </c>
      <c r="X12" s="266"/>
      <c r="Y12" s="266"/>
      <c r="Z12" s="292">
        <v>1.1000000000000001</v>
      </c>
      <c r="AA12" s="293" t="s">
        <v>185</v>
      </c>
      <c r="AB12" s="294" t="s">
        <v>158</v>
      </c>
      <c r="AC12" s="295">
        <v>4</v>
      </c>
      <c r="AD12" s="296">
        <v>34953414</v>
      </c>
      <c r="AE12" s="297">
        <f>ROUND(AC12*AD12,0)</f>
        <v>139813656</v>
      </c>
      <c r="AF12" s="298">
        <f t="shared" ref="AF12:AF30" si="6">IF(EXACT(VLOOKUP(Z12,OFERTA_0,2,FALSE),AA12),1,0)</f>
        <v>1</v>
      </c>
      <c r="AG12" s="298">
        <f t="shared" ref="AG12:AG30" si="7">IF(EXACT(VLOOKUP(Z12,OFERTA_0,3,FALSE),AB12),1,0)</f>
        <v>1</v>
      </c>
      <c r="AH12" s="299">
        <f t="shared" ref="AH12:AH30" si="8">IF(EXACT(VLOOKUP(Z12,OFERTA_0,4,FALSE),AC12),1,0)</f>
        <v>1</v>
      </c>
      <c r="AI12" s="299">
        <f t="shared" ref="AI12:AJ16" si="9">IF(AD12=0,0,1)</f>
        <v>1</v>
      </c>
      <c r="AJ12" s="299">
        <f t="shared" si="9"/>
        <v>1</v>
      </c>
      <c r="AK12" s="299">
        <f>PRODUCT(AF12:AJ12)</f>
        <v>1</v>
      </c>
      <c r="AL12" s="300">
        <f t="shared" ref="AL12:AL30" si="10">ROUND(AE12,0)</f>
        <v>139813656</v>
      </c>
      <c r="AM12" s="301">
        <f t="shared" ref="AM12:AM30" si="11">AE12-AL12</f>
        <v>0</v>
      </c>
      <c r="AN12" s="266"/>
      <c r="AP12" s="302">
        <v>1.1000000000000001</v>
      </c>
      <c r="AQ12" s="303" t="s">
        <v>185</v>
      </c>
      <c r="AR12" s="304" t="s">
        <v>158</v>
      </c>
      <c r="AS12" s="305">
        <v>4</v>
      </c>
      <c r="AT12" s="306">
        <v>38800000</v>
      </c>
      <c r="AU12" s="307">
        <f>ROUND(AS12*AT12,0)</f>
        <v>155200000</v>
      </c>
      <c r="AV12" s="298">
        <f t="shared" ref="AV12:AV30" si="12">IF(EXACT(VLOOKUP(AP12,OFERTA_0,2,FALSE),AQ12),1,0)</f>
        <v>1</v>
      </c>
      <c r="AW12" s="298">
        <f t="shared" ref="AW12:AW30" si="13">IF(EXACT(VLOOKUP(AP12,OFERTA_0,3,FALSE),AR12),1,0)</f>
        <v>1</v>
      </c>
      <c r="AX12" s="299">
        <f t="shared" ref="AX12:AX30" si="14">IF(EXACT(VLOOKUP(AP12,OFERTA_0,4,FALSE),AS12),1,0)</f>
        <v>1</v>
      </c>
      <c r="AY12" s="299">
        <f t="shared" ref="AY12:AZ16" si="15">IF(AT12=0,0,1)</f>
        <v>1</v>
      </c>
      <c r="AZ12" s="299">
        <f t="shared" si="15"/>
        <v>1</v>
      </c>
      <c r="BA12" s="299">
        <f>PRODUCT(AV12:AZ12)</f>
        <v>1</v>
      </c>
      <c r="BB12" s="300">
        <f t="shared" ref="BB12:BB30" si="16">ROUND(AU12,0)</f>
        <v>155200000</v>
      </c>
      <c r="BC12" s="301">
        <f t="shared" ref="BC12:BC30" si="17">AU12-BB12</f>
        <v>0</v>
      </c>
      <c r="BD12" s="193"/>
      <c r="BE12" s="193"/>
      <c r="BF12" s="193"/>
      <c r="BG12" s="193"/>
      <c r="BH12" s="193"/>
      <c r="BI12" s="193"/>
      <c r="BJ12" s="193"/>
      <c r="BK12" s="193"/>
      <c r="BL12" s="193"/>
      <c r="BM12" s="193"/>
      <c r="BN12" s="193"/>
      <c r="BO12" s="193"/>
      <c r="BP12" s="193"/>
      <c r="BQ12" s="193"/>
      <c r="BR12" s="193"/>
      <c r="BS12" s="193"/>
      <c r="BT12" s="193"/>
      <c r="BU12" s="193"/>
      <c r="BV12" s="193"/>
    </row>
    <row r="13" spans="1:74" ht="90">
      <c r="A13" s="193"/>
      <c r="B13" s="286">
        <v>1.2</v>
      </c>
      <c r="C13" s="287" t="s">
        <v>186</v>
      </c>
      <c r="D13" s="288" t="s">
        <v>158</v>
      </c>
      <c r="E13" s="289">
        <v>2</v>
      </c>
      <c r="F13" s="290">
        <v>0</v>
      </c>
      <c r="G13" s="291">
        <f>ROUND(E13*F13,0)</f>
        <v>0</v>
      </c>
      <c r="J13" s="292">
        <v>1.2</v>
      </c>
      <c r="K13" s="293" t="s">
        <v>186</v>
      </c>
      <c r="L13" s="294" t="s">
        <v>158</v>
      </c>
      <c r="M13" s="295">
        <v>2</v>
      </c>
      <c r="N13" s="296">
        <v>41086522</v>
      </c>
      <c r="O13" s="297">
        <f>ROUND(M13*N13,0)</f>
        <v>82173044</v>
      </c>
      <c r="P13" s="298">
        <f t="shared" si="0"/>
        <v>1</v>
      </c>
      <c r="Q13" s="298">
        <f t="shared" si="1"/>
        <v>1</v>
      </c>
      <c r="R13" s="299">
        <f t="shared" si="2"/>
        <v>1</v>
      </c>
      <c r="S13" s="299">
        <f t="shared" si="3"/>
        <v>1</v>
      </c>
      <c r="T13" s="299">
        <f t="shared" si="3"/>
        <v>1</v>
      </c>
      <c r="U13" s="299">
        <f>PRODUCT(P13:T13)</f>
        <v>1</v>
      </c>
      <c r="V13" s="300">
        <f t="shared" si="4"/>
        <v>82173044</v>
      </c>
      <c r="W13" s="301">
        <f t="shared" si="5"/>
        <v>0</v>
      </c>
      <c r="X13" s="266"/>
      <c r="Y13" s="266"/>
      <c r="Z13" s="292">
        <v>1.2</v>
      </c>
      <c r="AA13" s="293" t="s">
        <v>186</v>
      </c>
      <c r="AB13" s="294" t="s">
        <v>158</v>
      </c>
      <c r="AC13" s="295">
        <v>2</v>
      </c>
      <c r="AD13" s="296">
        <v>33839144</v>
      </c>
      <c r="AE13" s="297">
        <f>ROUND(AC13*AD13,0)</f>
        <v>67678288</v>
      </c>
      <c r="AF13" s="298">
        <f t="shared" si="6"/>
        <v>1</v>
      </c>
      <c r="AG13" s="298">
        <f t="shared" si="7"/>
        <v>1</v>
      </c>
      <c r="AH13" s="299">
        <f t="shared" si="8"/>
        <v>1</v>
      </c>
      <c r="AI13" s="299">
        <f t="shared" si="9"/>
        <v>1</v>
      </c>
      <c r="AJ13" s="299">
        <f t="shared" si="9"/>
        <v>1</v>
      </c>
      <c r="AK13" s="299">
        <f>PRODUCT(AF13:AJ13)</f>
        <v>1</v>
      </c>
      <c r="AL13" s="300">
        <f t="shared" si="10"/>
        <v>67678288</v>
      </c>
      <c r="AM13" s="301">
        <f t="shared" si="11"/>
        <v>0</v>
      </c>
      <c r="AN13" s="266"/>
      <c r="AO13" s="266"/>
      <c r="AP13" s="302">
        <v>1.2</v>
      </c>
      <c r="AQ13" s="303" t="s">
        <v>186</v>
      </c>
      <c r="AR13" s="304" t="s">
        <v>158</v>
      </c>
      <c r="AS13" s="305">
        <v>2</v>
      </c>
      <c r="AT13" s="306">
        <v>36945500</v>
      </c>
      <c r="AU13" s="307">
        <f>ROUND(AS13*AT13,0)</f>
        <v>73891000</v>
      </c>
      <c r="AV13" s="298">
        <f t="shared" si="12"/>
        <v>1</v>
      </c>
      <c r="AW13" s="298">
        <f t="shared" si="13"/>
        <v>1</v>
      </c>
      <c r="AX13" s="299">
        <f t="shared" si="14"/>
        <v>1</v>
      </c>
      <c r="AY13" s="299">
        <f t="shared" si="15"/>
        <v>1</v>
      </c>
      <c r="AZ13" s="299">
        <f t="shared" si="15"/>
        <v>1</v>
      </c>
      <c r="BA13" s="299">
        <f>PRODUCT(AV13:AZ13)</f>
        <v>1</v>
      </c>
      <c r="BB13" s="300">
        <f t="shared" si="16"/>
        <v>73891000</v>
      </c>
      <c r="BC13" s="301">
        <f t="shared" si="17"/>
        <v>0</v>
      </c>
      <c r="BD13" s="193"/>
      <c r="BE13" s="193"/>
      <c r="BF13" s="193"/>
      <c r="BG13" s="193"/>
      <c r="BH13" s="193"/>
      <c r="BI13" s="193"/>
      <c r="BJ13" s="193"/>
      <c r="BK13" s="193"/>
      <c r="BL13" s="193"/>
      <c r="BM13" s="193"/>
      <c r="BN13" s="193"/>
      <c r="BO13" s="193"/>
      <c r="BP13" s="193"/>
      <c r="BQ13" s="193"/>
      <c r="BR13" s="193"/>
      <c r="BS13" s="193"/>
      <c r="BT13" s="193"/>
      <c r="BU13" s="193"/>
      <c r="BV13" s="193"/>
    </row>
    <row r="14" spans="1:74" ht="75">
      <c r="A14" s="193"/>
      <c r="B14" s="286">
        <v>1.3</v>
      </c>
      <c r="C14" s="287" t="s">
        <v>187</v>
      </c>
      <c r="D14" s="288" t="s">
        <v>158</v>
      </c>
      <c r="E14" s="308">
        <v>1</v>
      </c>
      <c r="F14" s="290">
        <v>0</v>
      </c>
      <c r="G14" s="291">
        <f>ROUND(E14*F14,0)</f>
        <v>0</v>
      </c>
      <c r="H14" s="309"/>
      <c r="J14" s="292">
        <v>1.3</v>
      </c>
      <c r="K14" s="293" t="s">
        <v>187</v>
      </c>
      <c r="L14" s="294" t="s">
        <v>158</v>
      </c>
      <c r="M14" s="310">
        <v>1</v>
      </c>
      <c r="N14" s="296">
        <v>35823050</v>
      </c>
      <c r="O14" s="297">
        <f>ROUND(M14*N14,0)</f>
        <v>35823050</v>
      </c>
      <c r="P14" s="298">
        <f t="shared" si="0"/>
        <v>1</v>
      </c>
      <c r="Q14" s="298">
        <f t="shared" si="1"/>
        <v>1</v>
      </c>
      <c r="R14" s="299">
        <f t="shared" si="2"/>
        <v>1</v>
      </c>
      <c r="S14" s="299">
        <f t="shared" si="3"/>
        <v>1</v>
      </c>
      <c r="T14" s="299">
        <f t="shared" si="3"/>
        <v>1</v>
      </c>
      <c r="U14" s="299">
        <f t="shared" ref="U14:U30" si="18">PRODUCT(P14:T14)</f>
        <v>1</v>
      </c>
      <c r="V14" s="300">
        <f t="shared" si="4"/>
        <v>35823050</v>
      </c>
      <c r="W14" s="301">
        <f t="shared" si="5"/>
        <v>0</v>
      </c>
      <c r="X14" s="266"/>
      <c r="Y14" s="266"/>
      <c r="Z14" s="292">
        <v>1.3</v>
      </c>
      <c r="AA14" s="293" t="s">
        <v>187</v>
      </c>
      <c r="AB14" s="294" t="s">
        <v>158</v>
      </c>
      <c r="AC14" s="310">
        <v>1</v>
      </c>
      <c r="AD14" s="296">
        <v>31765853</v>
      </c>
      <c r="AE14" s="297">
        <f>ROUND(AC14*AD14,0)</f>
        <v>31765853</v>
      </c>
      <c r="AF14" s="298">
        <f t="shared" si="6"/>
        <v>1</v>
      </c>
      <c r="AG14" s="298">
        <f t="shared" si="7"/>
        <v>1</v>
      </c>
      <c r="AH14" s="299">
        <f t="shared" si="8"/>
        <v>1</v>
      </c>
      <c r="AI14" s="299">
        <f t="shared" si="9"/>
        <v>1</v>
      </c>
      <c r="AJ14" s="299">
        <f t="shared" si="9"/>
        <v>1</v>
      </c>
      <c r="AK14" s="299">
        <f t="shared" ref="AK14:AK16" si="19">PRODUCT(AF14:AJ14)</f>
        <v>1</v>
      </c>
      <c r="AL14" s="300">
        <f t="shared" si="10"/>
        <v>31765853</v>
      </c>
      <c r="AM14" s="301">
        <f t="shared" si="11"/>
        <v>0</v>
      </c>
      <c r="AN14" s="266"/>
      <c r="AO14" s="266"/>
      <c r="AP14" s="302">
        <v>1.3</v>
      </c>
      <c r="AQ14" s="303" t="s">
        <v>187</v>
      </c>
      <c r="AR14" s="304" t="s">
        <v>158</v>
      </c>
      <c r="AS14" s="311">
        <v>1</v>
      </c>
      <c r="AT14" s="306">
        <v>33880000</v>
      </c>
      <c r="AU14" s="307">
        <f>ROUND(AS14*AT14,0)</f>
        <v>33880000</v>
      </c>
      <c r="AV14" s="298">
        <f t="shared" si="12"/>
        <v>1</v>
      </c>
      <c r="AW14" s="298">
        <f t="shared" si="13"/>
        <v>1</v>
      </c>
      <c r="AX14" s="299">
        <f t="shared" si="14"/>
        <v>1</v>
      </c>
      <c r="AY14" s="299">
        <f t="shared" si="15"/>
        <v>1</v>
      </c>
      <c r="AZ14" s="299">
        <f t="shared" si="15"/>
        <v>1</v>
      </c>
      <c r="BA14" s="299">
        <f t="shared" ref="BA14:BA16" si="20">PRODUCT(AV14:AZ14)</f>
        <v>1</v>
      </c>
      <c r="BB14" s="300">
        <f t="shared" si="16"/>
        <v>33880000</v>
      </c>
      <c r="BC14" s="301">
        <f t="shared" si="17"/>
        <v>0</v>
      </c>
      <c r="BD14" s="193"/>
      <c r="BE14" s="193"/>
      <c r="BF14" s="193"/>
      <c r="BG14" s="193"/>
      <c r="BH14" s="193"/>
      <c r="BI14" s="193"/>
      <c r="BJ14" s="193"/>
      <c r="BK14" s="193"/>
      <c r="BL14" s="193"/>
      <c r="BM14" s="193"/>
      <c r="BN14" s="193"/>
      <c r="BO14" s="193"/>
      <c r="BP14" s="193"/>
      <c r="BQ14" s="193"/>
      <c r="BR14" s="193"/>
      <c r="BS14" s="193"/>
      <c r="BT14" s="193"/>
      <c r="BU14" s="193"/>
      <c r="BV14" s="193"/>
    </row>
    <row r="15" spans="1:74" ht="99" customHeight="1">
      <c r="A15" s="193"/>
      <c r="B15" s="286">
        <v>1.4</v>
      </c>
      <c r="C15" s="312" t="s">
        <v>241</v>
      </c>
      <c r="D15" s="288" t="s">
        <v>158</v>
      </c>
      <c r="E15" s="308">
        <v>3</v>
      </c>
      <c r="F15" s="290">
        <v>0</v>
      </c>
      <c r="G15" s="291">
        <f>ROUND(E15*F15,0)</f>
        <v>0</v>
      </c>
      <c r="H15" s="266"/>
      <c r="J15" s="292">
        <v>1.4</v>
      </c>
      <c r="K15" s="312" t="s">
        <v>241</v>
      </c>
      <c r="L15" s="294" t="s">
        <v>158</v>
      </c>
      <c r="M15" s="310">
        <v>3</v>
      </c>
      <c r="N15" s="296">
        <v>34559837</v>
      </c>
      <c r="O15" s="297">
        <f>ROUND(M15*N15,0)</f>
        <v>103679511</v>
      </c>
      <c r="P15" s="298">
        <f t="shared" si="0"/>
        <v>1</v>
      </c>
      <c r="Q15" s="298">
        <f t="shared" si="1"/>
        <v>1</v>
      </c>
      <c r="R15" s="299">
        <f t="shared" si="2"/>
        <v>1</v>
      </c>
      <c r="S15" s="299">
        <f t="shared" si="3"/>
        <v>1</v>
      </c>
      <c r="T15" s="299">
        <f t="shared" si="3"/>
        <v>1</v>
      </c>
      <c r="U15" s="299">
        <f t="shared" si="18"/>
        <v>1</v>
      </c>
      <c r="V15" s="300">
        <f t="shared" si="4"/>
        <v>103679511</v>
      </c>
      <c r="W15" s="301">
        <f t="shared" si="5"/>
        <v>0</v>
      </c>
      <c r="X15" s="266"/>
      <c r="Y15" s="266"/>
      <c r="Z15" s="292">
        <v>1.4</v>
      </c>
      <c r="AA15" s="312" t="s">
        <v>241</v>
      </c>
      <c r="AB15" s="294" t="s">
        <v>158</v>
      </c>
      <c r="AC15" s="310">
        <v>3</v>
      </c>
      <c r="AD15" s="296">
        <v>30655515</v>
      </c>
      <c r="AE15" s="297">
        <f>ROUND(AC15*AD15,0)</f>
        <v>91966545</v>
      </c>
      <c r="AF15" s="298">
        <f t="shared" si="6"/>
        <v>1</v>
      </c>
      <c r="AG15" s="298">
        <f t="shared" si="7"/>
        <v>1</v>
      </c>
      <c r="AH15" s="299">
        <f t="shared" si="8"/>
        <v>1</v>
      </c>
      <c r="AI15" s="299">
        <f t="shared" si="9"/>
        <v>1</v>
      </c>
      <c r="AJ15" s="299">
        <f t="shared" si="9"/>
        <v>1</v>
      </c>
      <c r="AK15" s="299">
        <f t="shared" si="19"/>
        <v>1</v>
      </c>
      <c r="AL15" s="300">
        <f t="shared" si="10"/>
        <v>91966545</v>
      </c>
      <c r="AM15" s="301">
        <f t="shared" si="11"/>
        <v>0</v>
      </c>
      <c r="AN15" s="266"/>
      <c r="AP15" s="302">
        <v>1.4</v>
      </c>
      <c r="AQ15" s="313" t="s">
        <v>241</v>
      </c>
      <c r="AR15" s="304" t="s">
        <v>158</v>
      </c>
      <c r="AS15" s="311">
        <v>3</v>
      </c>
      <c r="AT15" s="306">
        <v>30563600</v>
      </c>
      <c r="AU15" s="307">
        <f>ROUND(AS15*AT15,0)</f>
        <v>91690800</v>
      </c>
      <c r="AV15" s="298">
        <f t="shared" si="12"/>
        <v>1</v>
      </c>
      <c r="AW15" s="298">
        <f t="shared" si="13"/>
        <v>1</v>
      </c>
      <c r="AX15" s="299">
        <f t="shared" si="14"/>
        <v>1</v>
      </c>
      <c r="AY15" s="299">
        <f t="shared" si="15"/>
        <v>1</v>
      </c>
      <c r="AZ15" s="299">
        <f t="shared" si="15"/>
        <v>1</v>
      </c>
      <c r="BA15" s="299">
        <f t="shared" si="20"/>
        <v>1</v>
      </c>
      <c r="BB15" s="300">
        <f t="shared" si="16"/>
        <v>91690800</v>
      </c>
      <c r="BC15" s="301">
        <f t="shared" si="17"/>
        <v>0</v>
      </c>
      <c r="BD15" s="193"/>
      <c r="BE15" s="193"/>
      <c r="BF15" s="193"/>
      <c r="BG15" s="193"/>
      <c r="BH15" s="193"/>
      <c r="BI15" s="193"/>
      <c r="BJ15" s="193"/>
      <c r="BK15" s="193"/>
      <c r="BL15" s="193"/>
      <c r="BM15" s="193"/>
      <c r="BN15" s="193"/>
      <c r="BO15" s="193"/>
      <c r="BP15" s="193"/>
      <c r="BQ15" s="193"/>
      <c r="BR15" s="193"/>
      <c r="BS15" s="193"/>
      <c r="BT15" s="193"/>
      <c r="BU15" s="193"/>
      <c r="BV15" s="193"/>
    </row>
    <row r="16" spans="1:74" ht="75.75" thickBot="1">
      <c r="A16" s="193"/>
      <c r="B16" s="286">
        <v>1.5</v>
      </c>
      <c r="C16" s="287" t="s">
        <v>188</v>
      </c>
      <c r="D16" s="288" t="s">
        <v>158</v>
      </c>
      <c r="E16" s="308">
        <v>1</v>
      </c>
      <c r="F16" s="290">
        <v>0</v>
      </c>
      <c r="G16" s="291">
        <f>ROUND(E16*F16,0)</f>
        <v>0</v>
      </c>
      <c r="J16" s="314">
        <v>1.5</v>
      </c>
      <c r="K16" s="315" t="s">
        <v>188</v>
      </c>
      <c r="L16" s="316" t="s">
        <v>158</v>
      </c>
      <c r="M16" s="317">
        <v>1</v>
      </c>
      <c r="N16" s="318">
        <v>38349516</v>
      </c>
      <c r="O16" s="319">
        <f>ROUND(M16*N16,0)</f>
        <v>38349516</v>
      </c>
      <c r="P16" s="298">
        <f t="shared" si="0"/>
        <v>1</v>
      </c>
      <c r="Q16" s="298">
        <f t="shared" si="1"/>
        <v>1</v>
      </c>
      <c r="R16" s="299">
        <f t="shared" si="2"/>
        <v>1</v>
      </c>
      <c r="S16" s="299">
        <f t="shared" si="3"/>
        <v>1</v>
      </c>
      <c r="T16" s="299">
        <f t="shared" si="3"/>
        <v>1</v>
      </c>
      <c r="U16" s="299">
        <f t="shared" si="18"/>
        <v>1</v>
      </c>
      <c r="V16" s="300">
        <f t="shared" si="4"/>
        <v>38349516</v>
      </c>
      <c r="W16" s="301">
        <f t="shared" si="5"/>
        <v>0</v>
      </c>
      <c r="X16" s="266"/>
      <c r="Y16" s="266"/>
      <c r="Z16" s="292">
        <v>1.5</v>
      </c>
      <c r="AA16" s="293" t="s">
        <v>188</v>
      </c>
      <c r="AB16" s="294" t="s">
        <v>158</v>
      </c>
      <c r="AC16" s="310">
        <v>1</v>
      </c>
      <c r="AD16" s="296">
        <v>32820678</v>
      </c>
      <c r="AE16" s="297">
        <f>ROUND(AC16*AD16,0)</f>
        <v>32820678</v>
      </c>
      <c r="AF16" s="298">
        <f t="shared" si="6"/>
        <v>1</v>
      </c>
      <c r="AG16" s="298">
        <f t="shared" si="7"/>
        <v>1</v>
      </c>
      <c r="AH16" s="299">
        <f t="shared" si="8"/>
        <v>1</v>
      </c>
      <c r="AI16" s="299">
        <f t="shared" si="9"/>
        <v>1</v>
      </c>
      <c r="AJ16" s="299">
        <f t="shared" si="9"/>
        <v>1</v>
      </c>
      <c r="AK16" s="299">
        <f t="shared" si="19"/>
        <v>1</v>
      </c>
      <c r="AL16" s="300">
        <f t="shared" si="10"/>
        <v>32820678</v>
      </c>
      <c r="AM16" s="301">
        <f t="shared" si="11"/>
        <v>0</v>
      </c>
      <c r="AN16" s="266"/>
      <c r="AP16" s="302">
        <v>1.5</v>
      </c>
      <c r="AQ16" s="303" t="s">
        <v>188</v>
      </c>
      <c r="AR16" s="304" t="s">
        <v>158</v>
      </c>
      <c r="AS16" s="311">
        <v>1</v>
      </c>
      <c r="AT16" s="306">
        <v>34580000</v>
      </c>
      <c r="AU16" s="307">
        <f>ROUND(AS16*AT16,0)</f>
        <v>34580000</v>
      </c>
      <c r="AV16" s="298">
        <f t="shared" si="12"/>
        <v>1</v>
      </c>
      <c r="AW16" s="298">
        <f t="shared" si="13"/>
        <v>1</v>
      </c>
      <c r="AX16" s="299">
        <f t="shared" si="14"/>
        <v>1</v>
      </c>
      <c r="AY16" s="299">
        <f t="shared" si="15"/>
        <v>1</v>
      </c>
      <c r="AZ16" s="299">
        <f t="shared" si="15"/>
        <v>1</v>
      </c>
      <c r="BA16" s="299">
        <f t="shared" si="20"/>
        <v>1</v>
      </c>
      <c r="BB16" s="300">
        <f t="shared" si="16"/>
        <v>34580000</v>
      </c>
      <c r="BC16" s="301">
        <f t="shared" si="17"/>
        <v>0</v>
      </c>
      <c r="BD16" s="193"/>
      <c r="BE16" s="193"/>
      <c r="BF16" s="193"/>
      <c r="BG16" s="193"/>
      <c r="BH16" s="193"/>
      <c r="BI16" s="193"/>
      <c r="BJ16" s="193"/>
      <c r="BK16" s="193"/>
      <c r="BL16" s="193"/>
      <c r="BM16" s="193"/>
      <c r="BN16" s="193"/>
      <c r="BO16" s="193"/>
      <c r="BP16" s="193"/>
      <c r="BQ16" s="193"/>
      <c r="BR16" s="193"/>
      <c r="BS16" s="193"/>
      <c r="BT16" s="193"/>
      <c r="BU16" s="193"/>
      <c r="BV16" s="193"/>
    </row>
    <row r="17" spans="1:74" ht="18" thickTop="1" thickBot="1">
      <c r="A17" s="193"/>
      <c r="B17" s="267">
        <v>2</v>
      </c>
      <c r="C17" s="268" t="s">
        <v>189</v>
      </c>
      <c r="D17" s="269"/>
      <c r="E17" s="270"/>
      <c r="F17" s="271"/>
      <c r="G17" s="272">
        <f>+SUM(G18:G19)</f>
        <v>0</v>
      </c>
      <c r="J17" s="320">
        <v>2</v>
      </c>
      <c r="K17" s="321" t="s">
        <v>189</v>
      </c>
      <c r="L17" s="322"/>
      <c r="M17" s="323"/>
      <c r="N17" s="324"/>
      <c r="O17" s="325">
        <f>+SUM(O18:O19)</f>
        <v>208622256</v>
      </c>
      <c r="P17" s="298">
        <f t="shared" si="0"/>
        <v>1</v>
      </c>
      <c r="Q17" s="298">
        <f t="shared" si="1"/>
        <v>1</v>
      </c>
      <c r="R17" s="299">
        <f t="shared" si="2"/>
        <v>1</v>
      </c>
      <c r="S17" s="28"/>
      <c r="T17" s="299">
        <f t="shared" ref="T17:T30" si="21">IF(O17=0,0,1)</f>
        <v>1</v>
      </c>
      <c r="U17" s="299">
        <f>PRODUCT(P17:T17)</f>
        <v>1</v>
      </c>
      <c r="V17" s="300">
        <f t="shared" si="4"/>
        <v>208622256</v>
      </c>
      <c r="W17" s="301">
        <f t="shared" si="5"/>
        <v>0</v>
      </c>
      <c r="X17" s="266"/>
      <c r="Y17" s="266"/>
      <c r="Z17" s="273">
        <v>2</v>
      </c>
      <c r="AA17" s="274" t="s">
        <v>189</v>
      </c>
      <c r="AB17" s="275"/>
      <c r="AC17" s="276"/>
      <c r="AD17" s="277"/>
      <c r="AE17" s="278">
        <f>+SUM(AE18:AE19)</f>
        <v>155827320</v>
      </c>
      <c r="AF17" s="298">
        <f t="shared" si="6"/>
        <v>1</v>
      </c>
      <c r="AG17" s="298">
        <f t="shared" si="7"/>
        <v>1</v>
      </c>
      <c r="AH17" s="299">
        <f t="shared" si="8"/>
        <v>1</v>
      </c>
      <c r="AI17" s="28"/>
      <c r="AJ17" s="299">
        <f t="shared" ref="AJ17:AJ30" si="22">IF(AE17=0,0,1)</f>
        <v>1</v>
      </c>
      <c r="AK17" s="299">
        <f>PRODUCT(AF17:AJ17)</f>
        <v>1</v>
      </c>
      <c r="AL17" s="300">
        <f t="shared" si="10"/>
        <v>155827320</v>
      </c>
      <c r="AM17" s="301">
        <f t="shared" si="11"/>
        <v>0</v>
      </c>
      <c r="AN17" s="266"/>
      <c r="AP17" s="280">
        <v>2</v>
      </c>
      <c r="AQ17" s="281" t="s">
        <v>189</v>
      </c>
      <c r="AR17" s="282"/>
      <c r="AS17" s="283"/>
      <c r="AT17" s="284"/>
      <c r="AU17" s="285">
        <f>+SUM(AU18:AU19)</f>
        <v>102392000</v>
      </c>
      <c r="AV17" s="298">
        <f t="shared" si="12"/>
        <v>1</v>
      </c>
      <c r="AW17" s="298">
        <f t="shared" si="13"/>
        <v>1</v>
      </c>
      <c r="AX17" s="299">
        <f t="shared" si="14"/>
        <v>1</v>
      </c>
      <c r="AY17" s="28"/>
      <c r="AZ17" s="299">
        <f t="shared" ref="AZ17:AZ30" si="23">IF(AU17=0,0,1)</f>
        <v>1</v>
      </c>
      <c r="BA17" s="299">
        <f>PRODUCT(AV17:AZ17)</f>
        <v>1</v>
      </c>
      <c r="BB17" s="300">
        <f t="shared" si="16"/>
        <v>102392000</v>
      </c>
      <c r="BC17" s="301">
        <f t="shared" si="17"/>
        <v>0</v>
      </c>
      <c r="BD17" s="193"/>
      <c r="BE17" s="193"/>
      <c r="BF17" s="193"/>
      <c r="BG17" s="193"/>
      <c r="BH17" s="193"/>
      <c r="BI17" s="193"/>
      <c r="BJ17" s="193"/>
      <c r="BK17" s="193"/>
      <c r="BL17" s="193"/>
      <c r="BM17" s="193"/>
      <c r="BN17" s="193"/>
      <c r="BO17" s="193"/>
      <c r="BP17" s="193"/>
      <c r="BQ17" s="193"/>
      <c r="BR17" s="193"/>
      <c r="BS17" s="193"/>
      <c r="BT17" s="193"/>
      <c r="BU17" s="193"/>
      <c r="BV17" s="193"/>
    </row>
    <row r="18" spans="1:74" ht="75.75" thickTop="1">
      <c r="A18" s="193"/>
      <c r="B18" s="326">
        <v>2.1</v>
      </c>
      <c r="C18" s="327" t="s">
        <v>190</v>
      </c>
      <c r="D18" s="328" t="s">
        <v>158</v>
      </c>
      <c r="E18" s="329">
        <v>5</v>
      </c>
      <c r="F18" s="330">
        <v>0</v>
      </c>
      <c r="G18" s="331">
        <f>ROUND(E18*F18,0)</f>
        <v>0</v>
      </c>
      <c r="J18" s="332">
        <v>2.1</v>
      </c>
      <c r="K18" s="333" t="s">
        <v>190</v>
      </c>
      <c r="L18" s="334" t="s">
        <v>158</v>
      </c>
      <c r="M18" s="335">
        <v>5</v>
      </c>
      <c r="N18" s="336">
        <v>34770376</v>
      </c>
      <c r="O18" s="337">
        <f>ROUND(M18*N18,0)</f>
        <v>173851880</v>
      </c>
      <c r="P18" s="298">
        <f t="shared" si="0"/>
        <v>1</v>
      </c>
      <c r="Q18" s="298">
        <f t="shared" si="1"/>
        <v>1</v>
      </c>
      <c r="R18" s="299">
        <f t="shared" si="2"/>
        <v>1</v>
      </c>
      <c r="S18" s="299">
        <f>IF(N18=0,0,1)</f>
        <v>1</v>
      </c>
      <c r="T18" s="299">
        <f t="shared" si="21"/>
        <v>1</v>
      </c>
      <c r="U18" s="299">
        <f t="shared" si="18"/>
        <v>1</v>
      </c>
      <c r="V18" s="300">
        <f t="shared" si="4"/>
        <v>173851880</v>
      </c>
      <c r="W18" s="301">
        <f t="shared" si="5"/>
        <v>0</v>
      </c>
      <c r="X18" s="266"/>
      <c r="Y18" s="266"/>
      <c r="Z18" s="332">
        <v>2.1</v>
      </c>
      <c r="AA18" s="338" t="s">
        <v>190</v>
      </c>
      <c r="AB18" s="334" t="s">
        <v>158</v>
      </c>
      <c r="AC18" s="335">
        <v>5</v>
      </c>
      <c r="AD18" s="336">
        <v>25971220</v>
      </c>
      <c r="AE18" s="337">
        <f>ROUND(AC18*AD18,0)</f>
        <v>129856100</v>
      </c>
      <c r="AF18" s="298">
        <f t="shared" si="6"/>
        <v>1</v>
      </c>
      <c r="AG18" s="298">
        <f t="shared" si="7"/>
        <v>1</v>
      </c>
      <c r="AH18" s="299">
        <f t="shared" si="8"/>
        <v>1</v>
      </c>
      <c r="AI18" s="299">
        <f>IF(AD18=0,0,1)</f>
        <v>1</v>
      </c>
      <c r="AJ18" s="299">
        <f t="shared" si="22"/>
        <v>1</v>
      </c>
      <c r="AK18" s="299">
        <f t="shared" ref="AK18:AK30" si="24">PRODUCT(AF18:AJ18)</f>
        <v>1</v>
      </c>
      <c r="AL18" s="300">
        <f t="shared" si="10"/>
        <v>129856100</v>
      </c>
      <c r="AM18" s="301">
        <f t="shared" si="11"/>
        <v>0</v>
      </c>
      <c r="AN18" s="266"/>
      <c r="AP18" s="339">
        <v>2.1</v>
      </c>
      <c r="AQ18" s="340" t="s">
        <v>190</v>
      </c>
      <c r="AR18" s="341" t="s">
        <v>158</v>
      </c>
      <c r="AS18" s="342">
        <v>5</v>
      </c>
      <c r="AT18" s="343">
        <v>16749500</v>
      </c>
      <c r="AU18" s="344">
        <f>ROUND(AS18*AT18,0)</f>
        <v>83747500</v>
      </c>
      <c r="AV18" s="298">
        <f t="shared" si="12"/>
        <v>1</v>
      </c>
      <c r="AW18" s="298">
        <f t="shared" si="13"/>
        <v>1</v>
      </c>
      <c r="AX18" s="299">
        <f t="shared" si="14"/>
        <v>1</v>
      </c>
      <c r="AY18" s="299">
        <f>IF(AT18=0,0,1)</f>
        <v>1</v>
      </c>
      <c r="AZ18" s="299">
        <f t="shared" si="23"/>
        <v>1</v>
      </c>
      <c r="BA18" s="299">
        <f t="shared" ref="BA18:BA30" si="25">PRODUCT(AV18:AZ18)</f>
        <v>1</v>
      </c>
      <c r="BB18" s="300">
        <f t="shared" si="16"/>
        <v>83747500</v>
      </c>
      <c r="BC18" s="301">
        <f t="shared" si="17"/>
        <v>0</v>
      </c>
      <c r="BD18" s="193"/>
      <c r="BE18" s="193"/>
      <c r="BF18" s="193"/>
      <c r="BG18" s="193"/>
      <c r="BH18" s="193"/>
      <c r="BI18" s="193"/>
      <c r="BJ18" s="193"/>
      <c r="BK18" s="193"/>
      <c r="BL18" s="193"/>
      <c r="BM18" s="193"/>
      <c r="BN18" s="193"/>
      <c r="BO18" s="193"/>
      <c r="BP18" s="193"/>
      <c r="BQ18" s="193"/>
      <c r="BR18" s="193"/>
      <c r="BS18" s="193"/>
      <c r="BT18" s="193"/>
      <c r="BU18" s="193"/>
      <c r="BV18" s="193"/>
    </row>
    <row r="19" spans="1:74" ht="75.75" thickBot="1">
      <c r="A19" s="193"/>
      <c r="B19" s="345">
        <v>2.2000000000000002</v>
      </c>
      <c r="C19" s="287" t="s">
        <v>191</v>
      </c>
      <c r="D19" s="346" t="s">
        <v>158</v>
      </c>
      <c r="E19" s="347">
        <v>1</v>
      </c>
      <c r="F19" s="348">
        <v>0</v>
      </c>
      <c r="G19" s="291">
        <f>ROUND(E19*F19,0)</f>
        <v>0</v>
      </c>
      <c r="J19" s="349">
        <v>2.2000000000000002</v>
      </c>
      <c r="K19" s="293" t="s">
        <v>191</v>
      </c>
      <c r="L19" s="350" t="s">
        <v>158</v>
      </c>
      <c r="M19" s="351">
        <v>1</v>
      </c>
      <c r="N19" s="352">
        <v>34770376</v>
      </c>
      <c r="O19" s="297">
        <f>ROUND(M19*N19,0)</f>
        <v>34770376</v>
      </c>
      <c r="P19" s="298">
        <f t="shared" si="0"/>
        <v>1</v>
      </c>
      <c r="Q19" s="298">
        <f t="shared" si="1"/>
        <v>1</v>
      </c>
      <c r="R19" s="299">
        <f t="shared" si="2"/>
        <v>1</v>
      </c>
      <c r="S19" s="299">
        <f>IF(N19=0,0,1)</f>
        <v>1</v>
      </c>
      <c r="T19" s="299">
        <f t="shared" si="21"/>
        <v>1</v>
      </c>
      <c r="U19" s="299">
        <f t="shared" si="18"/>
        <v>1</v>
      </c>
      <c r="V19" s="300">
        <f t="shared" si="4"/>
        <v>34770376</v>
      </c>
      <c r="W19" s="301">
        <f t="shared" si="5"/>
        <v>0</v>
      </c>
      <c r="X19" s="266"/>
      <c r="Z19" s="349">
        <v>2.2000000000000002</v>
      </c>
      <c r="AA19" s="293" t="s">
        <v>191</v>
      </c>
      <c r="AB19" s="350" t="s">
        <v>158</v>
      </c>
      <c r="AC19" s="351">
        <v>1</v>
      </c>
      <c r="AD19" s="352">
        <v>25971220</v>
      </c>
      <c r="AE19" s="297">
        <f>ROUND(AC19*AD19,0)</f>
        <v>25971220</v>
      </c>
      <c r="AF19" s="298">
        <f t="shared" si="6"/>
        <v>1</v>
      </c>
      <c r="AG19" s="298">
        <f t="shared" si="7"/>
        <v>1</v>
      </c>
      <c r="AH19" s="299">
        <f t="shared" si="8"/>
        <v>1</v>
      </c>
      <c r="AI19" s="299">
        <f>IF(AD19=0,0,1)</f>
        <v>1</v>
      </c>
      <c r="AJ19" s="299">
        <f t="shared" si="22"/>
        <v>1</v>
      </c>
      <c r="AK19" s="299">
        <f t="shared" si="24"/>
        <v>1</v>
      </c>
      <c r="AL19" s="300">
        <f t="shared" si="10"/>
        <v>25971220</v>
      </c>
      <c r="AM19" s="301">
        <f t="shared" si="11"/>
        <v>0</v>
      </c>
      <c r="AP19" s="353">
        <v>2.2000000000000002</v>
      </c>
      <c r="AQ19" s="303" t="s">
        <v>191</v>
      </c>
      <c r="AR19" s="354" t="s">
        <v>158</v>
      </c>
      <c r="AS19" s="355">
        <v>1</v>
      </c>
      <c r="AT19" s="356">
        <v>18644500</v>
      </c>
      <c r="AU19" s="307">
        <f>ROUND(AS19*AT19,0)</f>
        <v>18644500</v>
      </c>
      <c r="AV19" s="298">
        <f t="shared" si="12"/>
        <v>1</v>
      </c>
      <c r="AW19" s="298">
        <f t="shared" si="13"/>
        <v>1</v>
      </c>
      <c r="AX19" s="299">
        <f t="shared" si="14"/>
        <v>1</v>
      </c>
      <c r="AY19" s="299">
        <f>IF(AT19=0,0,1)</f>
        <v>1</v>
      </c>
      <c r="AZ19" s="299">
        <f t="shared" si="23"/>
        <v>1</v>
      </c>
      <c r="BA19" s="299">
        <f t="shared" si="25"/>
        <v>1</v>
      </c>
      <c r="BB19" s="300">
        <f t="shared" si="16"/>
        <v>18644500</v>
      </c>
      <c r="BC19" s="301">
        <f t="shared" si="17"/>
        <v>0</v>
      </c>
      <c r="BD19" s="193"/>
      <c r="BE19" s="193"/>
      <c r="BF19" s="193"/>
      <c r="BG19" s="193"/>
      <c r="BH19" s="193"/>
      <c r="BI19" s="193"/>
      <c r="BJ19" s="193"/>
      <c r="BK19" s="193"/>
      <c r="BL19" s="193"/>
      <c r="BM19" s="193"/>
      <c r="BN19" s="193"/>
      <c r="BO19" s="193"/>
      <c r="BP19" s="193"/>
      <c r="BQ19" s="193"/>
      <c r="BR19" s="193"/>
      <c r="BS19" s="193"/>
      <c r="BT19" s="193"/>
      <c r="BU19" s="193"/>
      <c r="BV19" s="193"/>
    </row>
    <row r="20" spans="1:74" ht="18" thickTop="1" thickBot="1">
      <c r="A20" s="193"/>
      <c r="B20" s="267" t="s">
        <v>192</v>
      </c>
      <c r="C20" s="268" t="s">
        <v>193</v>
      </c>
      <c r="D20" s="269"/>
      <c r="E20" s="270"/>
      <c r="F20" s="357"/>
      <c r="G20" s="358">
        <f>+G21</f>
        <v>0</v>
      </c>
      <c r="I20" s="25" t="s">
        <v>242</v>
      </c>
      <c r="J20" s="273" t="s">
        <v>192</v>
      </c>
      <c r="K20" s="274" t="s">
        <v>193</v>
      </c>
      <c r="L20" s="275"/>
      <c r="M20" s="276"/>
      <c r="N20" s="359"/>
      <c r="O20" s="360">
        <f>+O21</f>
        <v>23611850</v>
      </c>
      <c r="P20" s="298">
        <f t="shared" si="0"/>
        <v>1</v>
      </c>
      <c r="Q20" s="298">
        <f t="shared" si="1"/>
        <v>1</v>
      </c>
      <c r="R20" s="299">
        <f t="shared" si="2"/>
        <v>1</v>
      </c>
      <c r="S20" s="28"/>
      <c r="T20" s="299">
        <f t="shared" si="21"/>
        <v>1</v>
      </c>
      <c r="U20" s="299">
        <f t="shared" si="18"/>
        <v>1</v>
      </c>
      <c r="V20" s="300">
        <f t="shared" si="4"/>
        <v>23611850</v>
      </c>
      <c r="W20" s="301">
        <f t="shared" si="5"/>
        <v>0</v>
      </c>
      <c r="X20" s="266"/>
      <c r="Y20" s="266"/>
      <c r="Z20" s="273" t="s">
        <v>192</v>
      </c>
      <c r="AA20" s="274" t="s">
        <v>193</v>
      </c>
      <c r="AB20" s="275"/>
      <c r="AC20" s="276"/>
      <c r="AD20" s="359"/>
      <c r="AE20" s="360">
        <f>+AE21</f>
        <v>24281179</v>
      </c>
      <c r="AF20" s="298">
        <f t="shared" si="6"/>
        <v>1</v>
      </c>
      <c r="AG20" s="298">
        <f t="shared" si="7"/>
        <v>1</v>
      </c>
      <c r="AH20" s="299">
        <f t="shared" si="8"/>
        <v>1</v>
      </c>
      <c r="AI20" s="28"/>
      <c r="AJ20" s="299">
        <f t="shared" si="22"/>
        <v>1</v>
      </c>
      <c r="AK20" s="299">
        <f t="shared" si="24"/>
        <v>1</v>
      </c>
      <c r="AL20" s="300">
        <f t="shared" si="10"/>
        <v>24281179</v>
      </c>
      <c r="AM20" s="301">
        <f t="shared" si="11"/>
        <v>0</v>
      </c>
      <c r="AN20" s="266"/>
      <c r="AP20" s="280" t="s">
        <v>192</v>
      </c>
      <c r="AQ20" s="281" t="s">
        <v>193</v>
      </c>
      <c r="AR20" s="282"/>
      <c r="AS20" s="283"/>
      <c r="AT20" s="361"/>
      <c r="AU20" s="362">
        <f>+AU21</f>
        <v>17260000</v>
      </c>
      <c r="AV20" s="298">
        <f t="shared" si="12"/>
        <v>1</v>
      </c>
      <c r="AW20" s="298">
        <f t="shared" si="13"/>
        <v>1</v>
      </c>
      <c r="AX20" s="299">
        <f t="shared" si="14"/>
        <v>1</v>
      </c>
      <c r="AY20" s="28"/>
      <c r="AZ20" s="299">
        <f t="shared" si="23"/>
        <v>1</v>
      </c>
      <c r="BA20" s="299">
        <f t="shared" si="25"/>
        <v>1</v>
      </c>
      <c r="BB20" s="300">
        <f t="shared" si="16"/>
        <v>17260000</v>
      </c>
      <c r="BC20" s="301">
        <f t="shared" si="17"/>
        <v>0</v>
      </c>
      <c r="BD20" s="193"/>
      <c r="BE20" s="193"/>
      <c r="BF20" s="193"/>
      <c r="BG20" s="193"/>
      <c r="BH20" s="193"/>
      <c r="BI20" s="193"/>
      <c r="BJ20" s="193"/>
      <c r="BK20" s="193"/>
      <c r="BL20" s="193"/>
      <c r="BM20" s="193"/>
      <c r="BN20" s="193"/>
      <c r="BO20" s="193"/>
      <c r="BP20" s="193"/>
      <c r="BQ20" s="193"/>
      <c r="BR20" s="193"/>
      <c r="BS20" s="193"/>
      <c r="BT20" s="193"/>
      <c r="BU20" s="193"/>
      <c r="BV20" s="193"/>
    </row>
    <row r="21" spans="1:74" ht="76.5" thickTop="1" thickBot="1">
      <c r="A21" s="193"/>
      <c r="B21" s="363">
        <v>3.1</v>
      </c>
      <c r="C21" s="364" t="s">
        <v>194</v>
      </c>
      <c r="D21" s="288" t="s">
        <v>158</v>
      </c>
      <c r="E21" s="365">
        <v>1</v>
      </c>
      <c r="F21" s="366">
        <v>0</v>
      </c>
      <c r="G21" s="367">
        <f>ROUND(E21*F21,0)</f>
        <v>0</v>
      </c>
      <c r="J21" s="368">
        <v>3.1</v>
      </c>
      <c r="K21" s="369" t="s">
        <v>194</v>
      </c>
      <c r="L21" s="294" t="s">
        <v>158</v>
      </c>
      <c r="M21" s="370">
        <v>1</v>
      </c>
      <c r="N21" s="371">
        <v>23611850</v>
      </c>
      <c r="O21" s="372">
        <f>ROUND(M21*N21,0)</f>
        <v>23611850</v>
      </c>
      <c r="P21" s="298">
        <f t="shared" si="0"/>
        <v>1</v>
      </c>
      <c r="Q21" s="298">
        <f t="shared" si="1"/>
        <v>1</v>
      </c>
      <c r="R21" s="299">
        <f t="shared" si="2"/>
        <v>1</v>
      </c>
      <c r="S21" s="299">
        <f>IF(N21=0,0,1)</f>
        <v>1</v>
      </c>
      <c r="T21" s="299">
        <f t="shared" si="21"/>
        <v>1</v>
      </c>
      <c r="U21" s="299">
        <f t="shared" si="18"/>
        <v>1</v>
      </c>
      <c r="V21" s="300">
        <f t="shared" si="4"/>
        <v>23611850</v>
      </c>
      <c r="W21" s="301">
        <f t="shared" si="5"/>
        <v>0</v>
      </c>
      <c r="X21" s="266"/>
      <c r="Z21" s="368">
        <v>3.1</v>
      </c>
      <c r="AA21" s="369" t="s">
        <v>194</v>
      </c>
      <c r="AB21" s="294" t="s">
        <v>158</v>
      </c>
      <c r="AC21" s="370">
        <v>1</v>
      </c>
      <c r="AD21" s="371">
        <v>24281179</v>
      </c>
      <c r="AE21" s="372">
        <f>ROUND(AC21*AD21,0)</f>
        <v>24281179</v>
      </c>
      <c r="AF21" s="298">
        <f t="shared" si="6"/>
        <v>1</v>
      </c>
      <c r="AG21" s="298">
        <f t="shared" si="7"/>
        <v>1</v>
      </c>
      <c r="AH21" s="299">
        <f t="shared" si="8"/>
        <v>1</v>
      </c>
      <c r="AI21" s="299">
        <f>IF(AD21=0,0,1)</f>
        <v>1</v>
      </c>
      <c r="AJ21" s="299">
        <f t="shared" si="22"/>
        <v>1</v>
      </c>
      <c r="AK21" s="299">
        <f t="shared" si="24"/>
        <v>1</v>
      </c>
      <c r="AL21" s="300">
        <f t="shared" si="10"/>
        <v>24281179</v>
      </c>
      <c r="AM21" s="301">
        <f t="shared" si="11"/>
        <v>0</v>
      </c>
      <c r="AP21" s="373">
        <v>3.1</v>
      </c>
      <c r="AQ21" s="374" t="s">
        <v>194</v>
      </c>
      <c r="AR21" s="304" t="s">
        <v>158</v>
      </c>
      <c r="AS21" s="375">
        <v>1</v>
      </c>
      <c r="AT21" s="376">
        <v>17260000</v>
      </c>
      <c r="AU21" s="377">
        <f>ROUND(AS21*AT21,0)</f>
        <v>17260000</v>
      </c>
      <c r="AV21" s="298">
        <f t="shared" si="12"/>
        <v>1</v>
      </c>
      <c r="AW21" s="298">
        <f t="shared" si="13"/>
        <v>1</v>
      </c>
      <c r="AX21" s="299">
        <f t="shared" si="14"/>
        <v>1</v>
      </c>
      <c r="AY21" s="299">
        <f>IF(AT21=0,0,1)</f>
        <v>1</v>
      </c>
      <c r="AZ21" s="299">
        <f t="shared" si="23"/>
        <v>1</v>
      </c>
      <c r="BA21" s="299">
        <f t="shared" si="25"/>
        <v>1</v>
      </c>
      <c r="BB21" s="300">
        <f t="shared" si="16"/>
        <v>17260000</v>
      </c>
      <c r="BC21" s="301">
        <f t="shared" si="17"/>
        <v>0</v>
      </c>
      <c r="BD21" s="193"/>
      <c r="BE21" s="193"/>
      <c r="BF21" s="193"/>
      <c r="BG21" s="193"/>
      <c r="BH21" s="193"/>
      <c r="BI21" s="193"/>
      <c r="BJ21" s="193"/>
      <c r="BK21" s="193"/>
      <c r="BL21" s="193"/>
      <c r="BM21" s="193"/>
      <c r="BN21" s="193"/>
      <c r="BO21" s="193"/>
      <c r="BP21" s="193"/>
      <c r="BQ21" s="193"/>
      <c r="BR21" s="193"/>
      <c r="BS21" s="193"/>
      <c r="BT21" s="193"/>
      <c r="BU21" s="193"/>
      <c r="BV21" s="193"/>
    </row>
    <row r="22" spans="1:74" ht="18" thickTop="1" thickBot="1">
      <c r="A22" s="193"/>
      <c r="B22" s="267" t="s">
        <v>195</v>
      </c>
      <c r="C22" s="268" t="s">
        <v>196</v>
      </c>
      <c r="D22" s="269"/>
      <c r="E22" s="270"/>
      <c r="F22" s="271"/>
      <c r="G22" s="272">
        <f>+SUM(G23:G24)</f>
        <v>0</v>
      </c>
      <c r="J22" s="273" t="s">
        <v>195</v>
      </c>
      <c r="K22" s="274" t="s">
        <v>196</v>
      </c>
      <c r="L22" s="275"/>
      <c r="M22" s="276"/>
      <c r="N22" s="277"/>
      <c r="O22" s="278">
        <f>+SUM(O23:O24)</f>
        <v>5946000</v>
      </c>
      <c r="P22" s="298">
        <f t="shared" si="0"/>
        <v>1</v>
      </c>
      <c r="Q22" s="298">
        <f t="shared" si="1"/>
        <v>1</v>
      </c>
      <c r="R22" s="299">
        <f t="shared" si="2"/>
        <v>1</v>
      </c>
      <c r="S22" s="28"/>
      <c r="T22" s="299">
        <f t="shared" si="21"/>
        <v>1</v>
      </c>
      <c r="U22" s="299">
        <f t="shared" si="18"/>
        <v>1</v>
      </c>
      <c r="V22" s="300">
        <f t="shared" si="4"/>
        <v>5946000</v>
      </c>
      <c r="W22" s="301">
        <f t="shared" si="5"/>
        <v>0</v>
      </c>
      <c r="X22" s="266"/>
      <c r="Y22" s="266"/>
      <c r="Z22" s="273" t="s">
        <v>195</v>
      </c>
      <c r="AA22" s="274" t="s">
        <v>196</v>
      </c>
      <c r="AB22" s="275"/>
      <c r="AC22" s="276"/>
      <c r="AD22" s="277"/>
      <c r="AE22" s="278">
        <f>+SUM(AE23:AE24)</f>
        <v>500000</v>
      </c>
      <c r="AF22" s="298">
        <f t="shared" si="6"/>
        <v>1</v>
      </c>
      <c r="AG22" s="298">
        <f t="shared" si="7"/>
        <v>1</v>
      </c>
      <c r="AH22" s="299">
        <f t="shared" si="8"/>
        <v>1</v>
      </c>
      <c r="AI22" s="28"/>
      <c r="AJ22" s="299">
        <f t="shared" si="22"/>
        <v>1</v>
      </c>
      <c r="AK22" s="299">
        <f t="shared" si="24"/>
        <v>1</v>
      </c>
      <c r="AL22" s="300">
        <f t="shared" si="10"/>
        <v>500000</v>
      </c>
      <c r="AM22" s="301">
        <f t="shared" si="11"/>
        <v>0</v>
      </c>
      <c r="AN22" s="266"/>
      <c r="AP22" s="280" t="s">
        <v>195</v>
      </c>
      <c r="AQ22" s="281" t="s">
        <v>196</v>
      </c>
      <c r="AR22" s="282"/>
      <c r="AS22" s="283"/>
      <c r="AT22" s="284"/>
      <c r="AU22" s="285">
        <f>+SUM(AU23:AU24)</f>
        <v>8300000</v>
      </c>
      <c r="AV22" s="298">
        <f t="shared" si="12"/>
        <v>1</v>
      </c>
      <c r="AW22" s="298">
        <f t="shared" si="13"/>
        <v>1</v>
      </c>
      <c r="AX22" s="299">
        <f t="shared" si="14"/>
        <v>1</v>
      </c>
      <c r="AY22" s="28"/>
      <c r="AZ22" s="299">
        <f t="shared" si="23"/>
        <v>1</v>
      </c>
      <c r="BA22" s="299">
        <f t="shared" si="25"/>
        <v>1</v>
      </c>
      <c r="BB22" s="300">
        <f t="shared" si="16"/>
        <v>8300000</v>
      </c>
      <c r="BC22" s="301">
        <f t="shared" si="17"/>
        <v>0</v>
      </c>
      <c r="BD22" s="193"/>
      <c r="BE22" s="193"/>
      <c r="BF22" s="193"/>
      <c r="BG22" s="193"/>
      <c r="BH22" s="193"/>
      <c r="BI22" s="193"/>
      <c r="BJ22" s="193"/>
      <c r="BK22" s="193"/>
      <c r="BL22" s="193"/>
      <c r="BM22" s="193"/>
      <c r="BN22" s="193"/>
      <c r="BO22" s="193"/>
      <c r="BP22" s="193"/>
      <c r="BQ22" s="193"/>
      <c r="BR22" s="193"/>
      <c r="BS22" s="193"/>
      <c r="BT22" s="193"/>
      <c r="BU22" s="193"/>
      <c r="BV22" s="193"/>
    </row>
    <row r="23" spans="1:74" ht="60.75" thickTop="1">
      <c r="A23" s="193"/>
      <c r="B23" s="378" t="s">
        <v>176</v>
      </c>
      <c r="C23" s="364" t="s">
        <v>197</v>
      </c>
      <c r="D23" s="379" t="s">
        <v>158</v>
      </c>
      <c r="E23" s="379">
        <v>5</v>
      </c>
      <c r="F23" s="380">
        <v>0</v>
      </c>
      <c r="G23" s="381">
        <f>ROUND(E23*F23,0)</f>
        <v>0</v>
      </c>
      <c r="I23" s="279"/>
      <c r="J23" s="382" t="s">
        <v>176</v>
      </c>
      <c r="K23" s="369" t="s">
        <v>197</v>
      </c>
      <c r="L23" s="383" t="s">
        <v>158</v>
      </c>
      <c r="M23" s="383">
        <v>5</v>
      </c>
      <c r="N23" s="380">
        <v>594600</v>
      </c>
      <c r="O23" s="381">
        <f>ROUND(M23*N23,0)</f>
        <v>2973000</v>
      </c>
      <c r="P23" s="298">
        <f t="shared" si="0"/>
        <v>1</v>
      </c>
      <c r="Q23" s="298">
        <f t="shared" si="1"/>
        <v>1</v>
      </c>
      <c r="R23" s="299">
        <f t="shared" si="2"/>
        <v>1</v>
      </c>
      <c r="S23" s="299">
        <f>IF(N23=0,0,1)</f>
        <v>1</v>
      </c>
      <c r="T23" s="299">
        <f t="shared" si="21"/>
        <v>1</v>
      </c>
      <c r="U23" s="299">
        <f t="shared" si="18"/>
        <v>1</v>
      </c>
      <c r="V23" s="300">
        <f t="shared" si="4"/>
        <v>2973000</v>
      </c>
      <c r="W23" s="301">
        <f t="shared" si="5"/>
        <v>0</v>
      </c>
      <c r="Z23" s="382" t="s">
        <v>176</v>
      </c>
      <c r="AA23" s="369" t="s">
        <v>197</v>
      </c>
      <c r="AB23" s="383" t="s">
        <v>158</v>
      </c>
      <c r="AC23" s="383">
        <v>5</v>
      </c>
      <c r="AD23" s="380">
        <v>50000</v>
      </c>
      <c r="AE23" s="381">
        <f>ROUND(AC23*AD23,0)</f>
        <v>250000</v>
      </c>
      <c r="AF23" s="298">
        <f t="shared" si="6"/>
        <v>1</v>
      </c>
      <c r="AG23" s="298">
        <f t="shared" si="7"/>
        <v>1</v>
      </c>
      <c r="AH23" s="299">
        <f t="shared" si="8"/>
        <v>1</v>
      </c>
      <c r="AI23" s="299">
        <f>IF(AD23=0,0,1)</f>
        <v>1</v>
      </c>
      <c r="AJ23" s="299">
        <f t="shared" si="22"/>
        <v>1</v>
      </c>
      <c r="AK23" s="299">
        <f t="shared" si="24"/>
        <v>1</v>
      </c>
      <c r="AL23" s="300">
        <f t="shared" si="10"/>
        <v>250000</v>
      </c>
      <c r="AM23" s="301">
        <f t="shared" si="11"/>
        <v>0</v>
      </c>
      <c r="AP23" s="384" t="s">
        <v>176</v>
      </c>
      <c r="AQ23" s="374" t="s">
        <v>197</v>
      </c>
      <c r="AR23" s="385" t="s">
        <v>158</v>
      </c>
      <c r="AS23" s="385">
        <v>5</v>
      </c>
      <c r="AT23" s="386">
        <v>700000</v>
      </c>
      <c r="AU23" s="387">
        <f>ROUND(AS23*AT23,0)</f>
        <v>3500000</v>
      </c>
      <c r="AV23" s="298">
        <f t="shared" si="12"/>
        <v>1</v>
      </c>
      <c r="AW23" s="298">
        <f t="shared" si="13"/>
        <v>1</v>
      </c>
      <c r="AX23" s="299">
        <f t="shared" si="14"/>
        <v>1</v>
      </c>
      <c r="AY23" s="299">
        <f>IF(AT23=0,0,1)</f>
        <v>1</v>
      </c>
      <c r="AZ23" s="299">
        <f t="shared" si="23"/>
        <v>1</v>
      </c>
      <c r="BA23" s="299">
        <f t="shared" si="25"/>
        <v>1</v>
      </c>
      <c r="BB23" s="300">
        <f t="shared" si="16"/>
        <v>3500000</v>
      </c>
      <c r="BC23" s="301">
        <f t="shared" si="17"/>
        <v>0</v>
      </c>
      <c r="BD23" s="194"/>
      <c r="BE23" s="193"/>
      <c r="BF23" s="193"/>
      <c r="BG23" s="193"/>
      <c r="BH23" s="193"/>
      <c r="BI23" s="193"/>
      <c r="BJ23" s="193"/>
      <c r="BK23" s="193"/>
      <c r="BL23" s="193"/>
      <c r="BM23" s="193"/>
      <c r="BN23" s="193"/>
      <c r="BO23" s="193"/>
      <c r="BP23" s="193"/>
      <c r="BQ23" s="193"/>
      <c r="BR23" s="193"/>
      <c r="BS23" s="193"/>
      <c r="BT23" s="193"/>
      <c r="BU23" s="193"/>
      <c r="BV23" s="193"/>
    </row>
    <row r="24" spans="1:74" ht="45.75" thickBot="1">
      <c r="A24" s="193"/>
      <c r="B24" s="388" t="s">
        <v>177</v>
      </c>
      <c r="C24" s="364" t="s">
        <v>198</v>
      </c>
      <c r="D24" s="379" t="s">
        <v>158</v>
      </c>
      <c r="E24" s="379">
        <v>5</v>
      </c>
      <c r="F24" s="380">
        <v>0</v>
      </c>
      <c r="G24" s="381">
        <f>ROUND(E24*F24,0)</f>
        <v>0</v>
      </c>
      <c r="J24" s="389" t="s">
        <v>177</v>
      </c>
      <c r="K24" s="369" t="s">
        <v>198</v>
      </c>
      <c r="L24" s="383" t="s">
        <v>158</v>
      </c>
      <c r="M24" s="383">
        <v>5</v>
      </c>
      <c r="N24" s="380">
        <v>594600</v>
      </c>
      <c r="O24" s="381">
        <f>ROUND(M24*N24,0)</f>
        <v>2973000</v>
      </c>
      <c r="P24" s="298">
        <f t="shared" si="0"/>
        <v>1</v>
      </c>
      <c r="Q24" s="298">
        <f t="shared" si="1"/>
        <v>1</v>
      </c>
      <c r="R24" s="299">
        <f t="shared" si="2"/>
        <v>1</v>
      </c>
      <c r="S24" s="299">
        <f>IF(N24=0,0,1)</f>
        <v>1</v>
      </c>
      <c r="T24" s="299">
        <f t="shared" si="21"/>
        <v>1</v>
      </c>
      <c r="U24" s="299">
        <f t="shared" si="18"/>
        <v>1</v>
      </c>
      <c r="V24" s="300">
        <f t="shared" si="4"/>
        <v>2973000</v>
      </c>
      <c r="W24" s="301">
        <f t="shared" si="5"/>
        <v>0</v>
      </c>
      <c r="Z24" s="389" t="s">
        <v>177</v>
      </c>
      <c r="AA24" s="369" t="s">
        <v>198</v>
      </c>
      <c r="AB24" s="383" t="s">
        <v>158</v>
      </c>
      <c r="AC24" s="383">
        <v>5</v>
      </c>
      <c r="AD24" s="380">
        <v>50000</v>
      </c>
      <c r="AE24" s="381">
        <f>ROUND(AC24*AD24,0)</f>
        <v>250000</v>
      </c>
      <c r="AF24" s="298">
        <f t="shared" si="6"/>
        <v>1</v>
      </c>
      <c r="AG24" s="298">
        <f t="shared" si="7"/>
        <v>1</v>
      </c>
      <c r="AH24" s="299">
        <f t="shared" si="8"/>
        <v>1</v>
      </c>
      <c r="AI24" s="299">
        <f>IF(AD24=0,0,1)</f>
        <v>1</v>
      </c>
      <c r="AJ24" s="299">
        <f t="shared" si="22"/>
        <v>1</v>
      </c>
      <c r="AK24" s="299">
        <f t="shared" si="24"/>
        <v>1</v>
      </c>
      <c r="AL24" s="300">
        <f t="shared" si="10"/>
        <v>250000</v>
      </c>
      <c r="AM24" s="301">
        <f t="shared" si="11"/>
        <v>0</v>
      </c>
      <c r="AP24" s="390" t="s">
        <v>177</v>
      </c>
      <c r="AQ24" s="374" t="s">
        <v>198</v>
      </c>
      <c r="AR24" s="385" t="s">
        <v>158</v>
      </c>
      <c r="AS24" s="385">
        <v>5</v>
      </c>
      <c r="AT24" s="386">
        <v>960000</v>
      </c>
      <c r="AU24" s="387">
        <f>ROUND(AS24*AT24,0)</f>
        <v>4800000</v>
      </c>
      <c r="AV24" s="298">
        <f t="shared" si="12"/>
        <v>1</v>
      </c>
      <c r="AW24" s="298">
        <f t="shared" si="13"/>
        <v>1</v>
      </c>
      <c r="AX24" s="299">
        <f t="shared" si="14"/>
        <v>1</v>
      </c>
      <c r="AY24" s="299">
        <f>IF(AT24=0,0,1)</f>
        <v>1</v>
      </c>
      <c r="AZ24" s="299">
        <f t="shared" si="23"/>
        <v>1</v>
      </c>
      <c r="BA24" s="299">
        <f t="shared" si="25"/>
        <v>1</v>
      </c>
      <c r="BB24" s="300">
        <f t="shared" si="16"/>
        <v>4800000</v>
      </c>
      <c r="BC24" s="301">
        <f t="shared" si="17"/>
        <v>0</v>
      </c>
      <c r="BD24" s="193"/>
      <c r="BE24" s="193"/>
      <c r="BF24" s="193"/>
      <c r="BG24" s="193"/>
      <c r="BH24" s="193"/>
      <c r="BI24" s="193"/>
      <c r="BJ24" s="193"/>
      <c r="BK24" s="193"/>
      <c r="BL24" s="193"/>
      <c r="BM24" s="193"/>
      <c r="BN24" s="193"/>
      <c r="BO24" s="193"/>
      <c r="BP24" s="193"/>
      <c r="BQ24" s="193"/>
      <c r="BR24" s="193"/>
      <c r="BS24" s="193"/>
      <c r="BT24" s="193"/>
      <c r="BU24" s="193"/>
      <c r="BV24" s="193"/>
    </row>
    <row r="25" spans="1:74" ht="18" thickTop="1" thickBot="1">
      <c r="A25" s="193"/>
      <c r="B25" s="267" t="s">
        <v>199</v>
      </c>
      <c r="C25" s="268" t="s">
        <v>200</v>
      </c>
      <c r="D25" s="269"/>
      <c r="E25" s="270"/>
      <c r="F25" s="271"/>
      <c r="G25" s="272">
        <f>+G26+G27+G28+G29+G30</f>
        <v>0</v>
      </c>
      <c r="J25" s="273" t="s">
        <v>199</v>
      </c>
      <c r="K25" s="274" t="s">
        <v>200</v>
      </c>
      <c r="L25" s="275"/>
      <c r="M25" s="276"/>
      <c r="N25" s="277"/>
      <c r="O25" s="278">
        <f>+O26+O27+O28+O29+O30</f>
        <v>8849076</v>
      </c>
      <c r="P25" s="298">
        <f t="shared" si="0"/>
        <v>1</v>
      </c>
      <c r="Q25" s="298">
        <f t="shared" si="1"/>
        <v>1</v>
      </c>
      <c r="R25" s="299">
        <f t="shared" si="2"/>
        <v>1</v>
      </c>
      <c r="S25" s="28"/>
      <c r="T25" s="299">
        <f t="shared" si="21"/>
        <v>1</v>
      </c>
      <c r="U25" s="299">
        <f t="shared" si="18"/>
        <v>1</v>
      </c>
      <c r="V25" s="300">
        <f t="shared" si="4"/>
        <v>8849076</v>
      </c>
      <c r="W25" s="301">
        <f t="shared" si="5"/>
        <v>0</v>
      </c>
      <c r="Z25" s="273" t="s">
        <v>199</v>
      </c>
      <c r="AA25" s="274" t="s">
        <v>200</v>
      </c>
      <c r="AB25" s="275"/>
      <c r="AC25" s="276"/>
      <c r="AD25" s="277"/>
      <c r="AE25" s="278">
        <f>+AE26+AE27+AE28+AE29+AE30</f>
        <v>22642600</v>
      </c>
      <c r="AF25" s="298">
        <f t="shared" si="6"/>
        <v>1</v>
      </c>
      <c r="AG25" s="298">
        <f t="shared" si="7"/>
        <v>1</v>
      </c>
      <c r="AH25" s="299">
        <f t="shared" si="8"/>
        <v>1</v>
      </c>
      <c r="AI25" s="28"/>
      <c r="AJ25" s="299">
        <f t="shared" si="22"/>
        <v>1</v>
      </c>
      <c r="AK25" s="299">
        <f t="shared" si="24"/>
        <v>1</v>
      </c>
      <c r="AL25" s="300">
        <f t="shared" si="10"/>
        <v>22642600</v>
      </c>
      <c r="AM25" s="301">
        <f t="shared" si="11"/>
        <v>0</v>
      </c>
      <c r="AP25" s="280" t="s">
        <v>199</v>
      </c>
      <c r="AQ25" s="281" t="s">
        <v>200</v>
      </c>
      <c r="AR25" s="282"/>
      <c r="AS25" s="283"/>
      <c r="AT25" s="284"/>
      <c r="AU25" s="285">
        <f>+AU26+AU27+AU28+AU29+AU30</f>
        <v>25203100</v>
      </c>
      <c r="AV25" s="298">
        <f t="shared" si="12"/>
        <v>1</v>
      </c>
      <c r="AW25" s="298">
        <f t="shared" si="13"/>
        <v>1</v>
      </c>
      <c r="AX25" s="299">
        <f t="shared" si="14"/>
        <v>1</v>
      </c>
      <c r="AY25" s="28"/>
      <c r="AZ25" s="299">
        <f t="shared" si="23"/>
        <v>1</v>
      </c>
      <c r="BA25" s="299">
        <f t="shared" si="25"/>
        <v>1</v>
      </c>
      <c r="BB25" s="300">
        <f t="shared" si="16"/>
        <v>25203100</v>
      </c>
      <c r="BC25" s="301">
        <f t="shared" si="17"/>
        <v>0</v>
      </c>
      <c r="BD25" s="193"/>
      <c r="BE25" s="193"/>
      <c r="BF25" s="193"/>
      <c r="BG25" s="193"/>
      <c r="BH25" s="193"/>
      <c r="BI25" s="193"/>
      <c r="BJ25" s="193"/>
      <c r="BK25" s="193"/>
      <c r="BL25" s="193"/>
      <c r="BM25" s="193"/>
      <c r="BN25" s="193"/>
      <c r="BO25" s="193"/>
      <c r="BP25" s="193"/>
      <c r="BQ25" s="193"/>
      <c r="BR25" s="193"/>
      <c r="BS25" s="193"/>
      <c r="BT25" s="193"/>
      <c r="BU25" s="193"/>
      <c r="BV25" s="193"/>
    </row>
    <row r="26" spans="1:74" ht="17.25" thickTop="1">
      <c r="A26" s="193"/>
      <c r="B26" s="378" t="s">
        <v>178</v>
      </c>
      <c r="C26" s="364" t="s">
        <v>201</v>
      </c>
      <c r="D26" s="379" t="s">
        <v>93</v>
      </c>
      <c r="E26" s="379">
        <v>102</v>
      </c>
      <c r="F26" s="380">
        <v>0</v>
      </c>
      <c r="G26" s="381">
        <f>ROUND(E26*F26,0)</f>
        <v>0</v>
      </c>
      <c r="J26" s="382" t="s">
        <v>178</v>
      </c>
      <c r="K26" s="369" t="s">
        <v>201</v>
      </c>
      <c r="L26" s="383" t="s">
        <v>93</v>
      </c>
      <c r="M26" s="383">
        <v>102</v>
      </c>
      <c r="N26" s="380">
        <v>69568</v>
      </c>
      <c r="O26" s="381">
        <f>ROUND(M26*N26,0)</f>
        <v>7095936</v>
      </c>
      <c r="P26" s="298">
        <f t="shared" si="0"/>
        <v>1</v>
      </c>
      <c r="Q26" s="298">
        <f t="shared" si="1"/>
        <v>1</v>
      </c>
      <c r="R26" s="299">
        <f t="shared" si="2"/>
        <v>1</v>
      </c>
      <c r="S26" s="299">
        <f>IF(N26=0,0,1)</f>
        <v>1</v>
      </c>
      <c r="T26" s="299">
        <f t="shared" si="21"/>
        <v>1</v>
      </c>
      <c r="U26" s="299">
        <f t="shared" si="18"/>
        <v>1</v>
      </c>
      <c r="V26" s="300">
        <f t="shared" si="4"/>
        <v>7095936</v>
      </c>
      <c r="W26" s="301">
        <f t="shared" si="5"/>
        <v>0</v>
      </c>
      <c r="Z26" s="382" t="s">
        <v>178</v>
      </c>
      <c r="AA26" s="369" t="s">
        <v>201</v>
      </c>
      <c r="AB26" s="383" t="s">
        <v>93</v>
      </c>
      <c r="AC26" s="383">
        <v>102</v>
      </c>
      <c r="AD26" s="380">
        <v>97000</v>
      </c>
      <c r="AE26" s="381">
        <f>ROUND(AC26*AD26,0)</f>
        <v>9894000</v>
      </c>
      <c r="AF26" s="298">
        <f t="shared" si="6"/>
        <v>1</v>
      </c>
      <c r="AG26" s="298">
        <f t="shared" si="7"/>
        <v>1</v>
      </c>
      <c r="AH26" s="299">
        <f t="shared" si="8"/>
        <v>1</v>
      </c>
      <c r="AI26" s="299">
        <f>IF(AD26=0,0,1)</f>
        <v>1</v>
      </c>
      <c r="AJ26" s="299">
        <f t="shared" si="22"/>
        <v>1</v>
      </c>
      <c r="AK26" s="299">
        <f t="shared" si="24"/>
        <v>1</v>
      </c>
      <c r="AL26" s="300">
        <f t="shared" si="10"/>
        <v>9894000</v>
      </c>
      <c r="AM26" s="301">
        <f t="shared" si="11"/>
        <v>0</v>
      </c>
      <c r="AP26" s="384" t="s">
        <v>178</v>
      </c>
      <c r="AQ26" s="374" t="s">
        <v>201</v>
      </c>
      <c r="AR26" s="385" t="s">
        <v>93</v>
      </c>
      <c r="AS26" s="385">
        <v>102</v>
      </c>
      <c r="AT26" s="386">
        <v>118700</v>
      </c>
      <c r="AU26" s="387">
        <f>ROUND(AS26*AT26,0)</f>
        <v>12107400</v>
      </c>
      <c r="AV26" s="298">
        <f t="shared" si="12"/>
        <v>1</v>
      </c>
      <c r="AW26" s="298">
        <f t="shared" si="13"/>
        <v>1</v>
      </c>
      <c r="AX26" s="299">
        <f t="shared" si="14"/>
        <v>1</v>
      </c>
      <c r="AY26" s="299">
        <f>IF(AT26=0,0,1)</f>
        <v>1</v>
      </c>
      <c r="AZ26" s="299">
        <f t="shared" si="23"/>
        <v>1</v>
      </c>
      <c r="BA26" s="299">
        <f t="shared" si="25"/>
        <v>1</v>
      </c>
      <c r="BB26" s="300">
        <f t="shared" si="16"/>
        <v>12107400</v>
      </c>
      <c r="BC26" s="301">
        <f t="shared" si="17"/>
        <v>0</v>
      </c>
      <c r="BD26" s="193"/>
      <c r="BE26" s="193"/>
      <c r="BF26" s="193"/>
      <c r="BG26" s="193"/>
      <c r="BH26" s="193"/>
      <c r="BI26" s="193"/>
      <c r="BJ26" s="193"/>
      <c r="BK26" s="193"/>
      <c r="BL26" s="193"/>
      <c r="BM26" s="193"/>
      <c r="BN26" s="193"/>
      <c r="BO26" s="193"/>
      <c r="BP26" s="193"/>
      <c r="BQ26" s="193"/>
      <c r="BR26" s="193"/>
      <c r="BS26" s="193"/>
      <c r="BT26" s="193"/>
      <c r="BU26" s="193"/>
      <c r="BV26" s="193"/>
    </row>
    <row r="27" spans="1:74" ht="30">
      <c r="A27" s="193"/>
      <c r="B27" s="391" t="s">
        <v>179</v>
      </c>
      <c r="C27" s="364" t="s">
        <v>202</v>
      </c>
      <c r="D27" s="379" t="s">
        <v>158</v>
      </c>
      <c r="E27" s="379">
        <v>56</v>
      </c>
      <c r="F27" s="380">
        <v>0</v>
      </c>
      <c r="G27" s="381">
        <f>ROUND(E27*F27,0)</f>
        <v>0</v>
      </c>
      <c r="J27" s="392" t="s">
        <v>179</v>
      </c>
      <c r="K27" s="369" t="s">
        <v>202</v>
      </c>
      <c r="L27" s="383" t="s">
        <v>158</v>
      </c>
      <c r="M27" s="383">
        <v>56</v>
      </c>
      <c r="N27" s="380">
        <v>14370</v>
      </c>
      <c r="O27" s="381">
        <f>ROUND(M27*N27,0)</f>
        <v>804720</v>
      </c>
      <c r="P27" s="298">
        <f t="shared" si="0"/>
        <v>1</v>
      </c>
      <c r="Q27" s="298">
        <f t="shared" si="1"/>
        <v>1</v>
      </c>
      <c r="R27" s="299">
        <f t="shared" si="2"/>
        <v>1</v>
      </c>
      <c r="S27" s="299">
        <f>IF(N27=0,0,1)</f>
        <v>1</v>
      </c>
      <c r="T27" s="299">
        <f t="shared" si="21"/>
        <v>1</v>
      </c>
      <c r="U27" s="299">
        <f t="shared" si="18"/>
        <v>1</v>
      </c>
      <c r="V27" s="300">
        <f t="shared" si="4"/>
        <v>804720</v>
      </c>
      <c r="W27" s="301">
        <f t="shared" si="5"/>
        <v>0</v>
      </c>
      <c r="Z27" s="392" t="s">
        <v>179</v>
      </c>
      <c r="AA27" s="369" t="s">
        <v>202</v>
      </c>
      <c r="AB27" s="383" t="s">
        <v>158</v>
      </c>
      <c r="AC27" s="383">
        <v>56</v>
      </c>
      <c r="AD27" s="380">
        <v>72500</v>
      </c>
      <c r="AE27" s="381">
        <f>ROUND(AC27*AD27,0)</f>
        <v>4060000</v>
      </c>
      <c r="AF27" s="298">
        <f t="shared" si="6"/>
        <v>1</v>
      </c>
      <c r="AG27" s="298">
        <f t="shared" si="7"/>
        <v>1</v>
      </c>
      <c r="AH27" s="299">
        <f t="shared" si="8"/>
        <v>1</v>
      </c>
      <c r="AI27" s="299">
        <f>IF(AD27=0,0,1)</f>
        <v>1</v>
      </c>
      <c r="AJ27" s="299">
        <f t="shared" si="22"/>
        <v>1</v>
      </c>
      <c r="AK27" s="299">
        <f t="shared" si="24"/>
        <v>1</v>
      </c>
      <c r="AL27" s="300">
        <f t="shared" si="10"/>
        <v>4060000</v>
      </c>
      <c r="AM27" s="301">
        <f t="shared" si="11"/>
        <v>0</v>
      </c>
      <c r="AP27" s="393" t="s">
        <v>179</v>
      </c>
      <c r="AQ27" s="374" t="s">
        <v>202</v>
      </c>
      <c r="AR27" s="385" t="s">
        <v>158</v>
      </c>
      <c r="AS27" s="385">
        <v>56</v>
      </c>
      <c r="AT27" s="386">
        <v>99000</v>
      </c>
      <c r="AU27" s="387">
        <f>ROUND(AS27*AT27,0)</f>
        <v>5544000</v>
      </c>
      <c r="AV27" s="298">
        <f t="shared" si="12"/>
        <v>1</v>
      </c>
      <c r="AW27" s="298">
        <f t="shared" si="13"/>
        <v>1</v>
      </c>
      <c r="AX27" s="299">
        <f t="shared" si="14"/>
        <v>1</v>
      </c>
      <c r="AY27" s="299">
        <f>IF(AT27=0,0,1)</f>
        <v>1</v>
      </c>
      <c r="AZ27" s="299">
        <f t="shared" si="23"/>
        <v>1</v>
      </c>
      <c r="BA27" s="299">
        <f t="shared" si="25"/>
        <v>1</v>
      </c>
      <c r="BB27" s="300">
        <f t="shared" si="16"/>
        <v>5544000</v>
      </c>
      <c r="BC27" s="301">
        <f t="shared" si="17"/>
        <v>0</v>
      </c>
      <c r="BD27" s="193"/>
      <c r="BE27" s="193"/>
      <c r="BF27" s="193"/>
      <c r="BG27" s="193"/>
      <c r="BH27" s="193"/>
      <c r="BI27" s="193"/>
      <c r="BJ27" s="193"/>
      <c r="BK27" s="193"/>
      <c r="BL27" s="193"/>
      <c r="BM27" s="193"/>
      <c r="BN27" s="193"/>
      <c r="BO27" s="193"/>
      <c r="BP27" s="193"/>
      <c r="BQ27" s="193"/>
      <c r="BR27" s="193"/>
      <c r="BS27" s="193"/>
      <c r="BT27" s="193"/>
      <c r="BU27" s="193"/>
      <c r="BV27" s="193"/>
    </row>
    <row r="28" spans="1:74" ht="16.5">
      <c r="A28" s="193"/>
      <c r="B28" s="391" t="s">
        <v>180</v>
      </c>
      <c r="C28" s="364" t="s">
        <v>203</v>
      </c>
      <c r="D28" s="379" t="s">
        <v>158</v>
      </c>
      <c r="E28" s="379">
        <v>28</v>
      </c>
      <c r="F28" s="380">
        <v>0</v>
      </c>
      <c r="G28" s="381">
        <f t="shared" ref="G28:G30" si="26">ROUND(E28*F28,0)</f>
        <v>0</v>
      </c>
      <c r="I28" s="266"/>
      <c r="J28" s="392" t="s">
        <v>180</v>
      </c>
      <c r="K28" s="369" t="s">
        <v>203</v>
      </c>
      <c r="L28" s="383" t="s">
        <v>158</v>
      </c>
      <c r="M28" s="383">
        <v>28</v>
      </c>
      <c r="N28" s="380">
        <v>14370</v>
      </c>
      <c r="O28" s="381">
        <f t="shared" ref="O28:O30" si="27">ROUND(M28*N28,0)</f>
        <v>402360</v>
      </c>
      <c r="P28" s="298">
        <f t="shared" si="0"/>
        <v>1</v>
      </c>
      <c r="Q28" s="298">
        <f t="shared" si="1"/>
        <v>1</v>
      </c>
      <c r="R28" s="299">
        <f t="shared" si="2"/>
        <v>1</v>
      </c>
      <c r="S28" s="299">
        <f>IF(N28=0,0,1)</f>
        <v>1</v>
      </c>
      <c r="T28" s="299">
        <f t="shared" si="21"/>
        <v>1</v>
      </c>
      <c r="U28" s="299">
        <f t="shared" si="18"/>
        <v>1</v>
      </c>
      <c r="V28" s="300">
        <f t="shared" si="4"/>
        <v>402360</v>
      </c>
      <c r="W28" s="301">
        <f t="shared" si="5"/>
        <v>0</v>
      </c>
      <c r="Z28" s="392" t="s">
        <v>180</v>
      </c>
      <c r="AA28" s="369" t="s">
        <v>203</v>
      </c>
      <c r="AB28" s="383" t="s">
        <v>158</v>
      </c>
      <c r="AC28" s="383">
        <v>28</v>
      </c>
      <c r="AD28" s="380">
        <v>237700</v>
      </c>
      <c r="AE28" s="381">
        <f t="shared" ref="AE28:AE30" si="28">ROUND(AC28*AD28,0)</f>
        <v>6655600</v>
      </c>
      <c r="AF28" s="298">
        <f t="shared" si="6"/>
        <v>1</v>
      </c>
      <c r="AG28" s="298">
        <f t="shared" si="7"/>
        <v>1</v>
      </c>
      <c r="AH28" s="299">
        <f t="shared" si="8"/>
        <v>1</v>
      </c>
      <c r="AI28" s="299">
        <f>IF(AD28=0,0,1)</f>
        <v>1</v>
      </c>
      <c r="AJ28" s="299">
        <f t="shared" si="22"/>
        <v>1</v>
      </c>
      <c r="AK28" s="299">
        <f t="shared" si="24"/>
        <v>1</v>
      </c>
      <c r="AL28" s="300">
        <f t="shared" si="10"/>
        <v>6655600</v>
      </c>
      <c r="AM28" s="301">
        <f t="shared" si="11"/>
        <v>0</v>
      </c>
      <c r="AP28" s="393" t="s">
        <v>180</v>
      </c>
      <c r="AQ28" s="374" t="s">
        <v>203</v>
      </c>
      <c r="AR28" s="385" t="s">
        <v>158</v>
      </c>
      <c r="AS28" s="385">
        <v>28</v>
      </c>
      <c r="AT28" s="386">
        <v>168500</v>
      </c>
      <c r="AU28" s="387">
        <f>ROUND(AS28*AT28,0)</f>
        <v>4718000</v>
      </c>
      <c r="AV28" s="298">
        <f t="shared" si="12"/>
        <v>1</v>
      </c>
      <c r="AW28" s="298">
        <f t="shared" si="13"/>
        <v>1</v>
      </c>
      <c r="AX28" s="299">
        <f t="shared" si="14"/>
        <v>1</v>
      </c>
      <c r="AY28" s="299">
        <f>IF(AT28=0,0,1)</f>
        <v>1</v>
      </c>
      <c r="AZ28" s="299">
        <f t="shared" si="23"/>
        <v>1</v>
      </c>
      <c r="BA28" s="299">
        <f t="shared" si="25"/>
        <v>1</v>
      </c>
      <c r="BB28" s="300">
        <f t="shared" si="16"/>
        <v>4718000</v>
      </c>
      <c r="BC28" s="301">
        <f t="shared" si="17"/>
        <v>0</v>
      </c>
      <c r="BD28" s="193"/>
      <c r="BE28" s="193"/>
      <c r="BF28" s="193"/>
      <c r="BG28" s="193"/>
      <c r="BH28" s="193"/>
      <c r="BI28" s="193"/>
      <c r="BJ28" s="193"/>
      <c r="BK28" s="193"/>
      <c r="BL28" s="193"/>
      <c r="BM28" s="193"/>
      <c r="BN28" s="193"/>
      <c r="BO28" s="193"/>
      <c r="BP28" s="193"/>
      <c r="BQ28" s="193"/>
      <c r="BR28" s="193"/>
      <c r="BS28" s="193"/>
      <c r="BT28" s="193"/>
      <c r="BU28" s="193"/>
      <c r="BV28" s="193"/>
    </row>
    <row r="29" spans="1:74" ht="30">
      <c r="A29" s="193"/>
      <c r="B29" s="394" t="s">
        <v>181</v>
      </c>
      <c r="C29" s="364" t="s">
        <v>204</v>
      </c>
      <c r="D29" s="379" t="s">
        <v>158</v>
      </c>
      <c r="E29" s="379">
        <v>15</v>
      </c>
      <c r="F29" s="380">
        <v>0</v>
      </c>
      <c r="G29" s="381">
        <f>ROUND(E29*F29,0)</f>
        <v>0</v>
      </c>
      <c r="J29" s="395" t="s">
        <v>181</v>
      </c>
      <c r="K29" s="369" t="s">
        <v>204</v>
      </c>
      <c r="L29" s="383" t="s">
        <v>158</v>
      </c>
      <c r="M29" s="383">
        <v>15</v>
      </c>
      <c r="N29" s="380">
        <v>14370</v>
      </c>
      <c r="O29" s="381">
        <f>ROUND(M29*N29,0)</f>
        <v>215550</v>
      </c>
      <c r="P29" s="298">
        <f t="shared" si="0"/>
        <v>1</v>
      </c>
      <c r="Q29" s="298">
        <f t="shared" si="1"/>
        <v>1</v>
      </c>
      <c r="R29" s="299">
        <f t="shared" si="2"/>
        <v>1</v>
      </c>
      <c r="S29" s="299">
        <f>IF(N29=0,0,1)</f>
        <v>1</v>
      </c>
      <c r="T29" s="299">
        <f t="shared" si="21"/>
        <v>1</v>
      </c>
      <c r="U29" s="299">
        <f t="shared" si="18"/>
        <v>1</v>
      </c>
      <c r="V29" s="300">
        <f t="shared" si="4"/>
        <v>215550</v>
      </c>
      <c r="W29" s="301">
        <f t="shared" si="5"/>
        <v>0</v>
      </c>
      <c r="Z29" s="395" t="s">
        <v>181</v>
      </c>
      <c r="AA29" s="369" t="s">
        <v>204</v>
      </c>
      <c r="AB29" s="383" t="s">
        <v>158</v>
      </c>
      <c r="AC29" s="383">
        <v>15</v>
      </c>
      <c r="AD29" s="380">
        <v>108700</v>
      </c>
      <c r="AE29" s="381">
        <f>ROUND(AC29*AD29,0)</f>
        <v>1630500</v>
      </c>
      <c r="AF29" s="298">
        <f t="shared" si="6"/>
        <v>1</v>
      </c>
      <c r="AG29" s="298">
        <f t="shared" si="7"/>
        <v>1</v>
      </c>
      <c r="AH29" s="299">
        <f t="shared" si="8"/>
        <v>1</v>
      </c>
      <c r="AI29" s="299">
        <f>IF(AD29=0,0,1)</f>
        <v>1</v>
      </c>
      <c r="AJ29" s="299">
        <f t="shared" si="22"/>
        <v>1</v>
      </c>
      <c r="AK29" s="299">
        <f t="shared" si="24"/>
        <v>1</v>
      </c>
      <c r="AL29" s="300">
        <f t="shared" si="10"/>
        <v>1630500</v>
      </c>
      <c r="AM29" s="301">
        <f t="shared" si="11"/>
        <v>0</v>
      </c>
      <c r="AP29" s="396" t="s">
        <v>181</v>
      </c>
      <c r="AQ29" s="374" t="s">
        <v>204</v>
      </c>
      <c r="AR29" s="385" t="s">
        <v>158</v>
      </c>
      <c r="AS29" s="385">
        <v>15</v>
      </c>
      <c r="AT29" s="386">
        <v>153800</v>
      </c>
      <c r="AU29" s="387">
        <f>ROUND(AS29*AT29,0)</f>
        <v>2307000</v>
      </c>
      <c r="AV29" s="298">
        <f t="shared" si="12"/>
        <v>1</v>
      </c>
      <c r="AW29" s="298">
        <f t="shared" si="13"/>
        <v>1</v>
      </c>
      <c r="AX29" s="299">
        <f t="shared" si="14"/>
        <v>1</v>
      </c>
      <c r="AY29" s="299">
        <f>IF(AT29=0,0,1)</f>
        <v>1</v>
      </c>
      <c r="AZ29" s="299">
        <f t="shared" si="23"/>
        <v>1</v>
      </c>
      <c r="BA29" s="299">
        <f t="shared" si="25"/>
        <v>1</v>
      </c>
      <c r="BB29" s="300">
        <f t="shared" si="16"/>
        <v>2307000</v>
      </c>
      <c r="BC29" s="301">
        <f t="shared" si="17"/>
        <v>0</v>
      </c>
      <c r="BD29" s="193"/>
      <c r="BE29" s="193"/>
      <c r="BF29" s="193"/>
      <c r="BG29" s="193"/>
      <c r="BH29" s="193"/>
      <c r="BI29" s="193"/>
      <c r="BJ29" s="193"/>
      <c r="BK29" s="193"/>
      <c r="BL29" s="193"/>
      <c r="BM29" s="193"/>
      <c r="BN29" s="193"/>
      <c r="BO29" s="193"/>
      <c r="BP29" s="193"/>
      <c r="BQ29" s="193"/>
      <c r="BR29" s="193"/>
      <c r="BS29" s="193"/>
      <c r="BT29" s="193"/>
      <c r="BU29" s="193"/>
      <c r="BV29" s="193"/>
    </row>
    <row r="30" spans="1:74" ht="30">
      <c r="A30" s="193"/>
      <c r="B30" s="394" t="s">
        <v>182</v>
      </c>
      <c r="C30" s="364" t="s">
        <v>205</v>
      </c>
      <c r="D30" s="397" t="s">
        <v>158</v>
      </c>
      <c r="E30" s="397">
        <v>23</v>
      </c>
      <c r="F30" s="380">
        <v>0</v>
      </c>
      <c r="G30" s="381">
        <f t="shared" si="26"/>
        <v>0</v>
      </c>
      <c r="J30" s="395" t="s">
        <v>182</v>
      </c>
      <c r="K30" s="369" t="s">
        <v>205</v>
      </c>
      <c r="L30" s="398" t="s">
        <v>158</v>
      </c>
      <c r="M30" s="398">
        <v>23</v>
      </c>
      <c r="N30" s="380">
        <v>14370</v>
      </c>
      <c r="O30" s="381">
        <f t="shared" si="27"/>
        <v>330510</v>
      </c>
      <c r="P30" s="298">
        <f t="shared" si="0"/>
        <v>1</v>
      </c>
      <c r="Q30" s="298">
        <f t="shared" si="1"/>
        <v>1</v>
      </c>
      <c r="R30" s="299">
        <f t="shared" si="2"/>
        <v>1</v>
      </c>
      <c r="S30" s="299">
        <f>IF(N30=0,0,1)</f>
        <v>1</v>
      </c>
      <c r="T30" s="299">
        <f t="shared" si="21"/>
        <v>1</v>
      </c>
      <c r="U30" s="299">
        <f t="shared" si="18"/>
        <v>1</v>
      </c>
      <c r="V30" s="300">
        <f t="shared" si="4"/>
        <v>330510</v>
      </c>
      <c r="W30" s="301">
        <f t="shared" si="5"/>
        <v>0</v>
      </c>
      <c r="Z30" s="395" t="s">
        <v>182</v>
      </c>
      <c r="AA30" s="369" t="s">
        <v>205</v>
      </c>
      <c r="AB30" s="398" t="s">
        <v>158</v>
      </c>
      <c r="AC30" s="398">
        <v>23</v>
      </c>
      <c r="AD30" s="380">
        <v>17500</v>
      </c>
      <c r="AE30" s="381">
        <f t="shared" si="28"/>
        <v>402500</v>
      </c>
      <c r="AF30" s="298">
        <f t="shared" si="6"/>
        <v>1</v>
      </c>
      <c r="AG30" s="298">
        <f t="shared" si="7"/>
        <v>1</v>
      </c>
      <c r="AH30" s="299">
        <f t="shared" si="8"/>
        <v>1</v>
      </c>
      <c r="AI30" s="299">
        <f>IF(AD30=0,0,1)</f>
        <v>1</v>
      </c>
      <c r="AJ30" s="299">
        <f t="shared" si="22"/>
        <v>1</v>
      </c>
      <c r="AK30" s="299">
        <f t="shared" si="24"/>
        <v>1</v>
      </c>
      <c r="AL30" s="300">
        <f t="shared" si="10"/>
        <v>402500</v>
      </c>
      <c r="AM30" s="301">
        <f t="shared" si="11"/>
        <v>0</v>
      </c>
      <c r="AP30" s="396" t="s">
        <v>182</v>
      </c>
      <c r="AQ30" s="374" t="s">
        <v>205</v>
      </c>
      <c r="AR30" s="399" t="s">
        <v>158</v>
      </c>
      <c r="AS30" s="399">
        <v>23</v>
      </c>
      <c r="AT30" s="386">
        <v>22900</v>
      </c>
      <c r="AU30" s="387">
        <f>ROUND(AS30*AT30,0)</f>
        <v>526700</v>
      </c>
      <c r="AV30" s="298">
        <f t="shared" si="12"/>
        <v>1</v>
      </c>
      <c r="AW30" s="298">
        <f t="shared" si="13"/>
        <v>1</v>
      </c>
      <c r="AX30" s="299">
        <f t="shared" si="14"/>
        <v>1</v>
      </c>
      <c r="AY30" s="299">
        <f>IF(AT30=0,0,1)</f>
        <v>1</v>
      </c>
      <c r="AZ30" s="299">
        <f t="shared" si="23"/>
        <v>1</v>
      </c>
      <c r="BA30" s="299">
        <f t="shared" si="25"/>
        <v>1</v>
      </c>
      <c r="BB30" s="300">
        <f t="shared" si="16"/>
        <v>526700</v>
      </c>
      <c r="BC30" s="301">
        <f t="shared" si="17"/>
        <v>0</v>
      </c>
      <c r="BD30" s="193"/>
      <c r="BE30" s="193"/>
      <c r="BF30" s="193"/>
      <c r="BG30" s="193"/>
      <c r="BH30" s="193"/>
      <c r="BI30" s="193"/>
      <c r="BJ30" s="193"/>
      <c r="BK30" s="193"/>
      <c r="BL30" s="193"/>
      <c r="BM30" s="193"/>
      <c r="BN30" s="193"/>
      <c r="BO30" s="193"/>
      <c r="BP30" s="193"/>
      <c r="BQ30" s="193"/>
      <c r="BR30" s="193"/>
      <c r="BS30" s="193"/>
      <c r="BT30" s="193"/>
      <c r="BU30" s="193"/>
      <c r="BV30" s="193"/>
    </row>
    <row r="31" spans="1:74" ht="43.5" customHeight="1">
      <c r="A31" s="193"/>
      <c r="B31" s="584" t="s">
        <v>206</v>
      </c>
      <c r="C31" s="585"/>
      <c r="D31" s="585"/>
      <c r="E31" s="586"/>
      <c r="F31" s="400"/>
      <c r="G31" s="401">
        <f>+G25+G22+G20+G17+G11</f>
        <v>0</v>
      </c>
      <c r="H31" s="402"/>
      <c r="I31" s="265"/>
      <c r="J31" s="584" t="s">
        <v>206</v>
      </c>
      <c r="K31" s="585"/>
      <c r="L31" s="585"/>
      <c r="M31" s="586"/>
      <c r="N31" s="403"/>
      <c r="O31" s="404">
        <f>O11+O17+O20+O22+O25</f>
        <v>688959275</v>
      </c>
      <c r="S31" s="28"/>
      <c r="T31" s="28"/>
      <c r="U31" s="28"/>
      <c r="V31" s="405" t="s">
        <v>101</v>
      </c>
      <c r="W31" s="406">
        <f>SUM(W12:W30)</f>
        <v>0</v>
      </c>
      <c r="Z31" s="584" t="s">
        <v>206</v>
      </c>
      <c r="AA31" s="585"/>
      <c r="AB31" s="585"/>
      <c r="AC31" s="586"/>
      <c r="AD31" s="403"/>
      <c r="AE31" s="404">
        <f>AE11+AE17+AE20+AE22+AE25</f>
        <v>567296119</v>
      </c>
      <c r="AI31" s="28"/>
      <c r="AJ31" s="28"/>
      <c r="AK31" s="28"/>
      <c r="AL31" s="405" t="s">
        <v>101</v>
      </c>
      <c r="AM31" s="406">
        <f>SUM(AM12:AM30)</f>
        <v>0</v>
      </c>
      <c r="AP31" s="584" t="s">
        <v>206</v>
      </c>
      <c r="AQ31" s="585"/>
      <c r="AR31" s="585"/>
      <c r="AS31" s="586"/>
      <c r="AT31" s="403"/>
      <c r="AU31" s="404">
        <f>AU11+AU17+AU20+AU22+AU25</f>
        <v>542396900</v>
      </c>
      <c r="AY31" s="28"/>
      <c r="AZ31" s="28"/>
      <c r="BA31" s="28"/>
      <c r="BB31" s="405" t="s">
        <v>101</v>
      </c>
      <c r="BC31" s="406">
        <f>SUM(BC12:BC30)</f>
        <v>0</v>
      </c>
      <c r="BD31" s="193"/>
      <c r="BE31" s="193"/>
      <c r="BF31" s="193"/>
      <c r="BG31" s="193"/>
      <c r="BH31" s="193"/>
      <c r="BI31" s="193"/>
      <c r="BJ31" s="193"/>
      <c r="BK31" s="193"/>
      <c r="BL31" s="193"/>
      <c r="BM31" s="193"/>
      <c r="BN31" s="193"/>
      <c r="BO31" s="193"/>
      <c r="BP31" s="193"/>
      <c r="BQ31" s="193"/>
      <c r="BR31" s="193"/>
      <c r="BS31" s="193"/>
      <c r="BT31" s="193"/>
      <c r="BU31" s="193"/>
      <c r="BV31" s="193"/>
    </row>
    <row r="32" spans="1:74" ht="18" customHeight="1">
      <c r="A32" s="193"/>
      <c r="B32" s="587" t="s">
        <v>207</v>
      </c>
      <c r="C32" s="588"/>
      <c r="D32" s="588"/>
      <c r="E32" s="589"/>
      <c r="F32" s="407">
        <v>0.19</v>
      </c>
      <c r="G32" s="408">
        <f>G31*F32</f>
        <v>0</v>
      </c>
      <c r="J32" s="587" t="s">
        <v>207</v>
      </c>
      <c r="K32" s="588"/>
      <c r="L32" s="588"/>
      <c r="M32" s="589"/>
      <c r="N32" s="409">
        <v>0.19</v>
      </c>
      <c r="O32" s="410">
        <f>CD_1*N32</f>
        <v>130902262.25</v>
      </c>
      <c r="S32" s="28"/>
      <c r="T32" s="28"/>
      <c r="U32" s="28"/>
      <c r="V32" s="602" t="s">
        <v>102</v>
      </c>
      <c r="W32" s="604">
        <f>IFERROR((W31/O31),0)</f>
        <v>0</v>
      </c>
      <c r="Z32" s="587" t="s">
        <v>207</v>
      </c>
      <c r="AA32" s="588"/>
      <c r="AB32" s="588"/>
      <c r="AC32" s="589"/>
      <c r="AD32" s="409">
        <v>0.19</v>
      </c>
      <c r="AE32" s="410">
        <f>CD_2*AD32</f>
        <v>107786262.61</v>
      </c>
      <c r="AI32" s="28"/>
      <c r="AJ32" s="28"/>
      <c r="AK32" s="28"/>
      <c r="AL32" s="602" t="s">
        <v>102</v>
      </c>
      <c r="AM32" s="604">
        <f>IFERROR((AM31/AE31),0)</f>
        <v>0</v>
      </c>
      <c r="AP32" s="587" t="s">
        <v>207</v>
      </c>
      <c r="AQ32" s="588"/>
      <c r="AR32" s="588"/>
      <c r="AS32" s="589"/>
      <c r="AT32" s="409">
        <v>0.19</v>
      </c>
      <c r="AU32" s="410">
        <f>CD_3*AT32</f>
        <v>103055411</v>
      </c>
      <c r="AY32" s="28"/>
      <c r="AZ32" s="28"/>
      <c r="BA32" s="28"/>
      <c r="BB32" s="602" t="s">
        <v>102</v>
      </c>
      <c r="BC32" s="604">
        <f>IFERROR((BC31/AU31),0)</f>
        <v>0</v>
      </c>
      <c r="BD32" s="193"/>
      <c r="BE32" s="193"/>
      <c r="BF32" s="193"/>
      <c r="BG32" s="193"/>
      <c r="BH32" s="193"/>
      <c r="BI32" s="193"/>
      <c r="BJ32" s="193"/>
      <c r="BK32" s="193"/>
      <c r="BL32" s="193"/>
      <c r="BM32" s="193"/>
      <c r="BN32" s="193"/>
      <c r="BO32" s="193"/>
      <c r="BP32" s="193"/>
      <c r="BQ32" s="193"/>
      <c r="BR32" s="193"/>
      <c r="BS32" s="193"/>
      <c r="BT32" s="193"/>
      <c r="BU32" s="193"/>
      <c r="BV32" s="193"/>
    </row>
    <row r="33" spans="1:74" ht="18.75" thickBot="1">
      <c r="A33" s="193"/>
      <c r="B33" s="590" t="s">
        <v>2</v>
      </c>
      <c r="C33" s="591"/>
      <c r="D33" s="591"/>
      <c r="E33" s="592"/>
      <c r="F33" s="411"/>
      <c r="G33" s="412">
        <f>G31+G32</f>
        <v>0</v>
      </c>
      <c r="J33" s="590" t="s">
        <v>2</v>
      </c>
      <c r="K33" s="591"/>
      <c r="L33" s="591"/>
      <c r="M33" s="592"/>
      <c r="N33" s="411"/>
      <c r="O33" s="413">
        <f>SUM(O31:O32)</f>
        <v>819861537.25</v>
      </c>
      <c r="S33" s="28"/>
      <c r="T33" s="28"/>
      <c r="U33" s="28"/>
      <c r="V33" s="603"/>
      <c r="W33" s="605"/>
      <c r="Z33" s="590" t="s">
        <v>2</v>
      </c>
      <c r="AA33" s="591"/>
      <c r="AB33" s="591"/>
      <c r="AC33" s="592"/>
      <c r="AD33" s="411"/>
      <c r="AE33" s="413">
        <f>SUM(AE31:AE32)</f>
        <v>675082381.61000001</v>
      </c>
      <c r="AI33" s="28"/>
      <c r="AJ33" s="28"/>
      <c r="AK33" s="28"/>
      <c r="AL33" s="603"/>
      <c r="AM33" s="605"/>
      <c r="AP33" s="590" t="s">
        <v>2</v>
      </c>
      <c r="AQ33" s="591"/>
      <c r="AR33" s="591"/>
      <c r="AS33" s="592"/>
      <c r="AT33" s="411"/>
      <c r="AU33" s="413">
        <f>SUM(AU31:AU32)</f>
        <v>645452311</v>
      </c>
      <c r="AY33" s="28"/>
      <c r="AZ33" s="28"/>
      <c r="BA33" s="28"/>
      <c r="BB33" s="603"/>
      <c r="BC33" s="605"/>
      <c r="BD33" s="193"/>
      <c r="BE33" s="193"/>
      <c r="BF33" s="193"/>
      <c r="BG33" s="193"/>
      <c r="BH33" s="193"/>
      <c r="BI33" s="193"/>
      <c r="BJ33" s="193"/>
      <c r="BK33" s="193"/>
      <c r="BL33" s="193"/>
      <c r="BM33" s="193"/>
      <c r="BN33" s="193"/>
      <c r="BO33" s="193"/>
      <c r="BP33" s="193"/>
      <c r="BQ33" s="193"/>
      <c r="BR33" s="193"/>
      <c r="BS33" s="193"/>
      <c r="BT33" s="193"/>
      <c r="BU33" s="193"/>
      <c r="BV33" s="193"/>
    </row>
    <row r="34" spans="1:74" ht="15.75" thickTop="1">
      <c r="A34" s="193"/>
      <c r="B34" s="414"/>
      <c r="C34" s="415"/>
      <c r="D34" s="415"/>
      <c r="E34" s="415"/>
      <c r="F34" s="415"/>
      <c r="G34" s="415"/>
      <c r="J34" s="414"/>
      <c r="K34" s="415"/>
      <c r="L34" s="415"/>
      <c r="M34" s="415"/>
      <c r="N34" s="415"/>
      <c r="O34" s="415"/>
      <c r="Z34" s="414"/>
      <c r="AA34" s="415"/>
      <c r="AB34" s="415"/>
      <c r="AC34" s="415"/>
      <c r="AD34" s="415"/>
      <c r="AE34" s="415"/>
      <c r="AP34" s="414"/>
      <c r="AQ34" s="415"/>
      <c r="AR34" s="415"/>
      <c r="AS34" s="415"/>
      <c r="AT34" s="415"/>
      <c r="AU34" s="415"/>
      <c r="BD34" s="193"/>
      <c r="BE34" s="193"/>
      <c r="BF34" s="193"/>
      <c r="BG34" s="193"/>
      <c r="BH34" s="193"/>
      <c r="BI34" s="193"/>
      <c r="BJ34" s="193"/>
      <c r="BK34" s="193"/>
      <c r="BL34" s="193"/>
      <c r="BM34" s="193"/>
      <c r="BN34" s="193"/>
      <c r="BO34" s="193"/>
      <c r="BP34" s="193"/>
      <c r="BQ34" s="193"/>
      <c r="BR34" s="193"/>
      <c r="BS34" s="193"/>
      <c r="BT34" s="193"/>
      <c r="BU34" s="193"/>
      <c r="BV34" s="193"/>
    </row>
    <row r="35" spans="1:74" ht="13.5" thickBot="1">
      <c r="A35" s="193"/>
      <c r="M35" s="44"/>
      <c r="N35" s="44"/>
      <c r="AC35" s="44"/>
      <c r="AD35" s="44"/>
      <c r="AS35" s="44"/>
      <c r="AT35" s="44"/>
      <c r="BD35" s="193"/>
      <c r="BE35" s="193"/>
      <c r="BF35" s="193"/>
      <c r="BG35" s="193"/>
      <c r="BH35" s="193"/>
      <c r="BI35" s="193"/>
      <c r="BJ35" s="193"/>
      <c r="BK35" s="193"/>
      <c r="BL35" s="193"/>
      <c r="BM35" s="193"/>
      <c r="BN35" s="193"/>
      <c r="BO35" s="193"/>
      <c r="BP35" s="193"/>
      <c r="BQ35" s="193"/>
      <c r="BR35" s="193"/>
      <c r="BS35" s="193"/>
      <c r="BT35" s="193"/>
      <c r="BU35" s="193"/>
      <c r="BV35" s="193"/>
    </row>
    <row r="36" spans="1:74" ht="27" thickBot="1">
      <c r="A36" s="193"/>
      <c r="F36" s="597" t="s">
        <v>133</v>
      </c>
      <c r="G36" s="598"/>
      <c r="H36" s="265"/>
      <c r="J36" s="594" t="str">
        <f>L2</f>
        <v>Instrumentación y Servicios S.A.S</v>
      </c>
      <c r="K36" s="595"/>
      <c r="L36" s="595"/>
      <c r="M36" s="595"/>
      <c r="N36" s="595"/>
      <c r="O36" s="596"/>
      <c r="Z36" s="594" t="str">
        <f>AB2</f>
        <v>CTL Company Ltda</v>
      </c>
      <c r="AA36" s="595"/>
      <c r="AB36" s="595"/>
      <c r="AC36" s="595"/>
      <c r="AD36" s="595"/>
      <c r="AE36" s="596"/>
      <c r="AP36" s="594" t="str">
        <f>AR2</f>
        <v>Avantika Colombia S.A.S</v>
      </c>
      <c r="AQ36" s="595"/>
      <c r="AR36" s="595"/>
      <c r="AS36" s="595"/>
      <c r="AT36" s="595"/>
      <c r="AU36" s="596"/>
      <c r="BD36" s="193"/>
      <c r="BE36" s="193"/>
      <c r="BF36" s="193"/>
      <c r="BG36" s="193"/>
      <c r="BH36" s="193"/>
      <c r="BI36" s="193"/>
      <c r="BJ36" s="193"/>
      <c r="BK36" s="193"/>
      <c r="BL36" s="193"/>
      <c r="BM36" s="193"/>
      <c r="BN36" s="193"/>
      <c r="BO36" s="193"/>
      <c r="BP36" s="193"/>
      <c r="BQ36" s="193"/>
      <c r="BR36" s="193"/>
      <c r="BS36" s="193"/>
      <c r="BT36" s="193"/>
      <c r="BU36" s="193"/>
      <c r="BV36" s="193"/>
    </row>
    <row r="37" spans="1:74" ht="60.75" thickBot="1">
      <c r="A37" s="193"/>
      <c r="B37" s="416"/>
      <c r="F37" s="417" t="s">
        <v>125</v>
      </c>
      <c r="G37" s="417" t="s">
        <v>134</v>
      </c>
      <c r="H37" s="265"/>
      <c r="J37" s="599" t="str">
        <f>+IF(S37*U37*W37=1,"OK","NO HABILITADO")</f>
        <v>OK</v>
      </c>
      <c r="K37" s="600"/>
      <c r="L37" s="600"/>
      <c r="M37" s="600"/>
      <c r="N37" s="600"/>
      <c r="O37" s="601"/>
      <c r="Q37" s="44"/>
      <c r="S37" s="418">
        <f>IF(O31&gt;'10. EVALUACIÓN'!$C$8,0,1)</f>
        <v>1</v>
      </c>
      <c r="U37" s="418">
        <f>PRODUCT(U12:U30)</f>
        <v>1</v>
      </c>
      <c r="W37" s="418">
        <f>IF(W32&gt;0.5,0,1)</f>
        <v>1</v>
      </c>
      <c r="Z37" s="599" t="str">
        <f>+IF(AI37*AK37*AM37=1,"OK","NO HABILITADO")</f>
        <v>OK</v>
      </c>
      <c r="AA37" s="600"/>
      <c r="AB37" s="600"/>
      <c r="AC37" s="600"/>
      <c r="AD37" s="600"/>
      <c r="AE37" s="601"/>
      <c r="AG37" s="44"/>
      <c r="AI37" s="418">
        <f>IF(AE31&gt;'10. EVALUACIÓN'!$C$8,0,1)</f>
        <v>1</v>
      </c>
      <c r="AK37" s="418">
        <f>PRODUCT(AK12:AK30)</f>
        <v>1</v>
      </c>
      <c r="AM37" s="418">
        <f>IF(AM32&gt;0.5,0,1)</f>
        <v>1</v>
      </c>
      <c r="AP37" s="599" t="str">
        <f>+IF(AY37*BA37*BC37=1,"OK","NO HABILITADO")</f>
        <v>OK</v>
      </c>
      <c r="AQ37" s="600"/>
      <c r="AR37" s="600"/>
      <c r="AS37" s="600"/>
      <c r="AT37" s="600"/>
      <c r="AU37" s="601"/>
      <c r="AW37" s="44"/>
      <c r="AY37" s="418">
        <f>IF(AU31&gt;'10. EVALUACIÓN'!$C$8,0,1)</f>
        <v>1</v>
      </c>
      <c r="BA37" s="418">
        <f>PRODUCT(BA12:BA30)</f>
        <v>1</v>
      </c>
      <c r="BC37" s="418">
        <f>IF(BC32&gt;0.5,0,1)</f>
        <v>1</v>
      </c>
      <c r="BD37" s="193"/>
      <c r="BE37" s="193"/>
      <c r="BF37" s="193"/>
      <c r="BG37" s="193"/>
      <c r="BH37" s="193"/>
      <c r="BI37" s="193"/>
      <c r="BJ37" s="193"/>
      <c r="BK37" s="193"/>
      <c r="BL37" s="193"/>
      <c r="BM37" s="193"/>
      <c r="BN37" s="193"/>
      <c r="BO37" s="193"/>
      <c r="BP37" s="193"/>
      <c r="BQ37" s="193"/>
      <c r="BR37" s="193"/>
      <c r="BS37" s="193"/>
      <c r="BT37" s="193"/>
      <c r="BU37" s="193"/>
      <c r="BV37" s="193"/>
    </row>
    <row r="38" spans="1:74" ht="27" customHeight="1">
      <c r="A38" s="193"/>
      <c r="F38" s="419">
        <v>15</v>
      </c>
      <c r="G38" s="419">
        <v>16</v>
      </c>
      <c r="H38" s="265"/>
      <c r="BD38" s="193"/>
      <c r="BE38" s="193"/>
      <c r="BF38" s="193"/>
      <c r="BG38" s="193"/>
      <c r="BH38" s="193"/>
      <c r="BI38" s="193"/>
      <c r="BJ38" s="193"/>
      <c r="BK38" s="193"/>
      <c r="BL38" s="193"/>
      <c r="BM38" s="193"/>
      <c r="BN38" s="193"/>
      <c r="BO38" s="193"/>
      <c r="BP38" s="193"/>
      <c r="BQ38" s="193"/>
      <c r="BR38" s="193"/>
      <c r="BS38" s="193"/>
      <c r="BT38" s="193"/>
      <c r="BU38" s="193"/>
      <c r="BV38" s="193"/>
    </row>
    <row r="39" spans="1:74" s="44" customFormat="1">
      <c r="A39" s="193"/>
      <c r="B39" s="28"/>
      <c r="C39" s="28"/>
      <c r="D39" s="28"/>
      <c r="E39" s="28"/>
      <c r="F39" s="28"/>
      <c r="G39" s="28"/>
      <c r="BD39" s="197"/>
      <c r="BE39" s="197"/>
      <c r="BF39" s="197"/>
      <c r="BG39" s="197"/>
      <c r="BH39" s="197"/>
      <c r="BI39" s="197"/>
      <c r="BJ39" s="197"/>
      <c r="BK39" s="197"/>
      <c r="BL39" s="197"/>
      <c r="BM39" s="197"/>
      <c r="BN39" s="197"/>
      <c r="BO39" s="197"/>
      <c r="BP39" s="197"/>
      <c r="BQ39" s="197"/>
      <c r="BR39" s="197"/>
      <c r="BS39" s="197"/>
      <c r="BT39" s="197"/>
      <c r="BU39" s="197"/>
      <c r="BV39" s="197"/>
    </row>
    <row r="40" spans="1:74" s="44" customFormat="1" ht="30" customHeight="1">
      <c r="A40" s="198"/>
      <c r="B40" s="593" t="s">
        <v>126</v>
      </c>
      <c r="C40" s="593"/>
      <c r="D40" s="420" t="s">
        <v>107</v>
      </c>
      <c r="E40" s="40"/>
      <c r="F40" s="420" t="s">
        <v>3</v>
      </c>
      <c r="G40" s="421" t="s">
        <v>124</v>
      </c>
      <c r="BD40" s="197"/>
      <c r="BE40" s="197"/>
      <c r="BF40" s="197"/>
      <c r="BG40" s="197"/>
      <c r="BH40" s="197"/>
      <c r="BI40" s="197"/>
      <c r="BJ40" s="197"/>
      <c r="BK40" s="197"/>
      <c r="BL40" s="197"/>
      <c r="BM40" s="197"/>
      <c r="BN40" s="197"/>
      <c r="BO40" s="197"/>
      <c r="BP40" s="197"/>
      <c r="BQ40" s="197"/>
      <c r="BR40" s="197"/>
      <c r="BS40" s="197"/>
      <c r="BT40" s="197"/>
      <c r="BU40" s="197"/>
      <c r="BV40" s="197"/>
    </row>
    <row r="41" spans="1:74" s="44" customFormat="1" ht="30" customHeight="1">
      <c r="A41" s="198"/>
      <c r="B41" s="27">
        <v>1</v>
      </c>
      <c r="C41" s="27" t="str">
        <f t="shared" ref="C41:C43" si="29">VLOOKUP(B41,LISTA_OFERENTES,2,FALSE)</f>
        <v>Instrumentación y Servicios S.A.S</v>
      </c>
      <c r="D41" s="27" t="str">
        <f>IF(HLOOKUP(C41,EST_EXP,2,FALSE)="OK","H","NH")</f>
        <v>H</v>
      </c>
      <c r="E41" s="40"/>
      <c r="F41" s="27">
        <v>1</v>
      </c>
      <c r="G41" s="43">
        <f ca="1">INDIRECT(H41,TRUE)</f>
        <v>688959275</v>
      </c>
      <c r="H41" s="45" t="str">
        <f>ADDRESS(31,I41,1,1)</f>
        <v>$O$31</v>
      </c>
      <c r="I41" s="45">
        <f>F38</f>
        <v>15</v>
      </c>
      <c r="BD41" s="197"/>
      <c r="BE41" s="197"/>
      <c r="BF41" s="197"/>
      <c r="BG41" s="197"/>
      <c r="BH41" s="197"/>
      <c r="BI41" s="197"/>
      <c r="BJ41" s="197"/>
      <c r="BK41" s="197"/>
      <c r="BL41" s="197"/>
      <c r="BM41" s="197"/>
      <c r="BN41" s="197"/>
      <c r="BO41" s="197"/>
      <c r="BP41" s="197"/>
      <c r="BQ41" s="197"/>
      <c r="BR41" s="197"/>
      <c r="BS41" s="197"/>
      <c r="BT41" s="197"/>
      <c r="BU41" s="197"/>
      <c r="BV41" s="197"/>
    </row>
    <row r="42" spans="1:74" s="44" customFormat="1" ht="30" customHeight="1">
      <c r="A42" s="198"/>
      <c r="B42" s="27">
        <v>2</v>
      </c>
      <c r="C42" s="27" t="str">
        <f t="shared" si="29"/>
        <v>CTL Company Ltda</v>
      </c>
      <c r="D42" s="27" t="str">
        <f t="shared" ref="D42:D43" si="30">IF(HLOOKUP(C42,EST_EXP,2,FALSE)="OK","H","NH")</f>
        <v>H</v>
      </c>
      <c r="E42" s="40"/>
      <c r="F42" s="27">
        <v>2</v>
      </c>
      <c r="G42" s="43">
        <f ca="1">INDIRECT(H42,TRUE)</f>
        <v>567296119</v>
      </c>
      <c r="H42" s="45" t="str">
        <f>ADDRESS(31,I42,1,1)</f>
        <v>$AE$31</v>
      </c>
      <c r="I42" s="45">
        <f>$I41+$G$38</f>
        <v>31</v>
      </c>
      <c r="BD42" s="197"/>
      <c r="BE42" s="197"/>
      <c r="BF42" s="197"/>
      <c r="BG42" s="197"/>
      <c r="BH42" s="197"/>
      <c r="BI42" s="197"/>
      <c r="BJ42" s="197"/>
      <c r="BK42" s="197"/>
      <c r="BL42" s="197"/>
      <c r="BM42" s="197"/>
      <c r="BN42" s="197"/>
      <c r="BO42" s="197"/>
      <c r="BP42" s="197"/>
      <c r="BQ42" s="197"/>
      <c r="BR42" s="197"/>
      <c r="BS42" s="197"/>
      <c r="BT42" s="197"/>
      <c r="BU42" s="197"/>
      <c r="BV42" s="197"/>
    </row>
    <row r="43" spans="1:74" s="44" customFormat="1" ht="30" customHeight="1">
      <c r="A43" s="29"/>
      <c r="B43" s="27">
        <v>3</v>
      </c>
      <c r="C43" s="27" t="str">
        <f t="shared" si="29"/>
        <v>Avantika Colombia S.A.S</v>
      </c>
      <c r="D43" s="27" t="str">
        <f t="shared" si="30"/>
        <v>H</v>
      </c>
      <c r="E43" s="40"/>
      <c r="F43" s="27">
        <v>3</v>
      </c>
      <c r="G43" s="43">
        <f ca="1">INDIRECT(H43,TRUE)</f>
        <v>542396900</v>
      </c>
      <c r="H43" s="45" t="str">
        <f>ADDRESS(31,I43,1,1)</f>
        <v>$AU$31</v>
      </c>
      <c r="I43" s="45">
        <f>$I42+$G$38</f>
        <v>47</v>
      </c>
    </row>
    <row r="44" spans="1:74" s="44" customFormat="1">
      <c r="A44" s="28"/>
      <c r="B44" s="28"/>
      <c r="C44" s="28"/>
      <c r="D44" s="28"/>
      <c r="E44" s="28"/>
      <c r="F44" s="28"/>
      <c r="G44" s="28"/>
    </row>
    <row r="45" spans="1:74" s="44" customFormat="1">
      <c r="A45" s="28"/>
      <c r="B45" s="28"/>
      <c r="C45" s="28"/>
      <c r="D45" s="28"/>
      <c r="E45" s="28"/>
      <c r="F45" s="28"/>
      <c r="G45" s="28"/>
    </row>
  </sheetData>
  <sheetProtection algorithmName="SHA-512" hashValue="ztIQcNNyU9o4AN7r+NjahkhfngdkRZzr7IdCH1zlGVW2w4j6fWGMO4bQEq9nz5YC0Hvf5SWoDZGvj5WTe329qg==" saltValue="scWnr0ikwahxaTjIozd7kg==" spinCount="100000" sheet="1" objects="1" scenarios="1"/>
  <mergeCells count="79">
    <mergeCell ref="AS8:AU9"/>
    <mergeCell ref="AR4:AU4"/>
    <mergeCell ref="AR5:AU7"/>
    <mergeCell ref="AV4:AV11"/>
    <mergeCell ref="AW4:AW11"/>
    <mergeCell ref="AX4:AX11"/>
    <mergeCell ref="AY4:AY11"/>
    <mergeCell ref="AZ4:AZ11"/>
    <mergeCell ref="BA4:BA11"/>
    <mergeCell ref="P4:P11"/>
    <mergeCell ref="Q4:Q11"/>
    <mergeCell ref="R4:R11"/>
    <mergeCell ref="S4:S11"/>
    <mergeCell ref="T4:T11"/>
    <mergeCell ref="U4:U11"/>
    <mergeCell ref="V4:V11"/>
    <mergeCell ref="W4:W11"/>
    <mergeCell ref="AF4:AF11"/>
    <mergeCell ref="AB4:AE4"/>
    <mergeCell ref="AB5:AE7"/>
    <mergeCell ref="AC8:AE9"/>
    <mergeCell ref="AJ4:AJ11"/>
    <mergeCell ref="AK4:AK11"/>
    <mergeCell ref="AL4:AL11"/>
    <mergeCell ref="AM4:AM11"/>
    <mergeCell ref="AR8:AR9"/>
    <mergeCell ref="AP4:AQ9"/>
    <mergeCell ref="B31:E31"/>
    <mergeCell ref="B32:E32"/>
    <mergeCell ref="B33:E33"/>
    <mergeCell ref="J31:M31"/>
    <mergeCell ref="L4:O4"/>
    <mergeCell ref="L5:O7"/>
    <mergeCell ref="M8:O9"/>
    <mergeCell ref="D4:G4"/>
    <mergeCell ref="D5:G7"/>
    <mergeCell ref="E8:G9"/>
    <mergeCell ref="J32:M32"/>
    <mergeCell ref="L8:L9"/>
    <mergeCell ref="J4:K9"/>
    <mergeCell ref="B4:C9"/>
    <mergeCell ref="D8:D9"/>
    <mergeCell ref="BC32:BC33"/>
    <mergeCell ref="Z31:AC31"/>
    <mergeCell ref="AB2:AE3"/>
    <mergeCell ref="AP2:AP3"/>
    <mergeCell ref="AQ2:AQ3"/>
    <mergeCell ref="AR2:AU3"/>
    <mergeCell ref="Z4:AA9"/>
    <mergeCell ref="AL32:AL33"/>
    <mergeCell ref="AM32:AM33"/>
    <mergeCell ref="BB32:BB33"/>
    <mergeCell ref="BB4:BB11"/>
    <mergeCell ref="BC4:BC11"/>
    <mergeCell ref="AB8:AB9"/>
    <mergeCell ref="AG4:AG11"/>
    <mergeCell ref="AH4:AH11"/>
    <mergeCell ref="AI4:AI11"/>
    <mergeCell ref="J2:J3"/>
    <mergeCell ref="K2:K3"/>
    <mergeCell ref="L2:O3"/>
    <mergeCell ref="Z2:Z3"/>
    <mergeCell ref="AA2:AA3"/>
    <mergeCell ref="AP31:AS31"/>
    <mergeCell ref="AP32:AS32"/>
    <mergeCell ref="AP33:AS33"/>
    <mergeCell ref="B40:C40"/>
    <mergeCell ref="J36:O36"/>
    <mergeCell ref="F36:G36"/>
    <mergeCell ref="Z37:AE37"/>
    <mergeCell ref="Z36:AE36"/>
    <mergeCell ref="V32:V33"/>
    <mergeCell ref="W32:W33"/>
    <mergeCell ref="J37:O37"/>
    <mergeCell ref="J33:M33"/>
    <mergeCell ref="Z32:AC32"/>
    <mergeCell ref="Z33:AC33"/>
    <mergeCell ref="AP37:AU37"/>
    <mergeCell ref="AP36:AU36"/>
  </mergeCells>
  <conditionalFormatting sqref="W37 P12:U16 P26:U30 P25:R25 T25:U25 P23:U24 P22:R22 T22:U22 P21:U21 P20:R20 T20:U20 P18:U19 P17:R17 T17:U17">
    <cfRule type="cellIs" dxfId="40" priority="1797" operator="equal">
      <formula>0</formula>
    </cfRule>
    <cfRule type="cellIs" dxfId="39" priority="1798" operator="equal">
      <formula>1</formula>
    </cfRule>
  </conditionalFormatting>
  <conditionalFormatting sqref="U37">
    <cfRule type="cellIs" dxfId="38" priority="1795" operator="equal">
      <formula>0</formula>
    </cfRule>
    <cfRule type="cellIs" dxfId="37" priority="1796" operator="equal">
      <formula>1</formula>
    </cfRule>
  </conditionalFormatting>
  <conditionalFormatting sqref="S37">
    <cfRule type="cellIs" dxfId="36" priority="1793" operator="equal">
      <formula>0</formula>
    </cfRule>
    <cfRule type="cellIs" dxfId="35" priority="1794" operator="equal">
      <formula>1</formula>
    </cfRule>
  </conditionalFormatting>
  <conditionalFormatting sqref="J37">
    <cfRule type="cellIs" dxfId="34" priority="1611" operator="equal">
      <formula>"OK"</formula>
    </cfRule>
    <cfRule type="cellIs" dxfId="33" priority="1612" operator="equal">
      <formula>"NO HABILITADO"</formula>
    </cfRule>
  </conditionalFormatting>
  <conditionalFormatting sqref="Z37">
    <cfRule type="cellIs" dxfId="32" priority="1501" operator="equal">
      <formula>"OK"</formula>
    </cfRule>
    <cfRule type="cellIs" dxfId="31" priority="1502" operator="equal">
      <formula>"NO HABILITADO"</formula>
    </cfRule>
  </conditionalFormatting>
  <conditionalFormatting sqref="AP37">
    <cfRule type="cellIs" dxfId="30" priority="1389" operator="equal">
      <formula>"OK"</formula>
    </cfRule>
    <cfRule type="cellIs" dxfId="29" priority="1390" operator="equal">
      <formula>"NO HABILITADO"</formula>
    </cfRule>
  </conditionalFormatting>
  <conditionalFormatting sqref="D41">
    <cfRule type="cellIs" dxfId="28" priority="43" operator="equal">
      <formula>"NH"</formula>
    </cfRule>
    <cfRule type="cellIs" dxfId="27" priority="44" operator="equal">
      <formula>"H"</formula>
    </cfRule>
  </conditionalFormatting>
  <conditionalFormatting sqref="D42:D43">
    <cfRule type="cellIs" dxfId="26" priority="41" operator="equal">
      <formula>"NH"</formula>
    </cfRule>
    <cfRule type="cellIs" dxfId="25" priority="42" operator="equal">
      <formula>"H"</formula>
    </cfRule>
  </conditionalFormatting>
  <conditionalFormatting sqref="AM37 AF12:AK16 AF26:AK30 AF25:AH25 AJ25:AK25 AF23:AK24 AF22:AH22 AJ22:AK22 AF21:AK21 AF20:AH20 AJ20:AK20 AF18:AK19 AF17:AH17 AJ17:AK17">
    <cfRule type="cellIs" dxfId="24" priority="11" operator="equal">
      <formula>0</formula>
    </cfRule>
    <cfRule type="cellIs" dxfId="23" priority="12" operator="equal">
      <formula>1</formula>
    </cfRule>
  </conditionalFormatting>
  <conditionalFormatting sqref="AK37">
    <cfRule type="cellIs" dxfId="22" priority="9" operator="equal">
      <formula>0</formula>
    </cfRule>
    <cfRule type="cellIs" dxfId="21" priority="10" operator="equal">
      <formula>1</formula>
    </cfRule>
  </conditionalFormatting>
  <conditionalFormatting sqref="AI37">
    <cfRule type="cellIs" dxfId="20" priority="7" operator="equal">
      <formula>0</formula>
    </cfRule>
    <cfRule type="cellIs" dxfId="19" priority="8" operator="equal">
      <formula>1</formula>
    </cfRule>
  </conditionalFormatting>
  <conditionalFormatting sqref="BC37 AV12:BA16 AV26:BA30 AV25:AX25 AZ25:BA25 AV23:BA24 AV22:AX22 AZ22:BA22 AV21:BA21 AV20:AX20 AZ20:BA20 AV18:BA19 AV17:AX17 AZ17:BA17">
    <cfRule type="cellIs" dxfId="18" priority="5" operator="equal">
      <formula>0</formula>
    </cfRule>
    <cfRule type="cellIs" dxfId="17" priority="6" operator="equal">
      <formula>1</formula>
    </cfRule>
  </conditionalFormatting>
  <conditionalFormatting sqref="BA37">
    <cfRule type="cellIs" dxfId="16" priority="3" operator="equal">
      <formula>0</formula>
    </cfRule>
    <cfRule type="cellIs" dxfId="15" priority="4" operator="equal">
      <formula>1</formula>
    </cfRule>
  </conditionalFormatting>
  <conditionalFormatting sqref="AY37">
    <cfRule type="cellIs" dxfId="14" priority="1" operator="equal">
      <formula>0</formula>
    </cfRule>
    <cfRule type="cellIs" dxfId="13" priority="2" operator="equal">
      <formula>1</formula>
    </cfRule>
  </conditionalFormatting>
  <pageMargins left="0.7" right="0.7" top="0.75" bottom="0.75" header="0.3" footer="0.3"/>
  <pageSetup paperSize="9"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00"/>
  </sheetPr>
  <dimension ref="A1:O6"/>
  <sheetViews>
    <sheetView zoomScale="80" zoomScaleNormal="80" workbookViewId="0">
      <selection sqref="A1:P8"/>
    </sheetView>
  </sheetViews>
  <sheetFormatPr baseColWidth="10" defaultColWidth="11.42578125" defaultRowHeight="12.75"/>
  <cols>
    <col min="1" max="1" width="8" style="24" customWidth="1"/>
    <col min="2" max="2" width="41" style="24" customWidth="1"/>
    <col min="3" max="3" width="17.7109375" style="24" customWidth="1"/>
    <col min="4" max="5" width="42.28515625" style="24" customWidth="1"/>
    <col min="6" max="9" width="23.7109375" style="24" customWidth="1"/>
    <col min="10" max="10" width="25.5703125" style="24" customWidth="1"/>
    <col min="11" max="13" width="11.42578125" style="24"/>
    <col min="14" max="14" width="42.42578125" style="24" customWidth="1"/>
    <col min="15" max="15" width="14.140625" style="24" customWidth="1"/>
    <col min="16" max="16384" width="11.42578125" style="24"/>
  </cols>
  <sheetData>
    <row r="1" spans="1:15" ht="28.5" customHeight="1">
      <c r="A1" s="650" t="s">
        <v>67</v>
      </c>
      <c r="B1" s="651"/>
      <c r="C1" s="651"/>
      <c r="D1" s="651"/>
      <c r="E1" s="651"/>
      <c r="F1" s="651"/>
      <c r="G1" s="651"/>
      <c r="H1" s="651"/>
      <c r="I1" s="651"/>
      <c r="J1" s="651"/>
    </row>
    <row r="3" spans="1:15" ht="111" customHeight="1">
      <c r="A3" s="422" t="s">
        <v>33</v>
      </c>
      <c r="B3" s="423" t="s">
        <v>31</v>
      </c>
      <c r="C3" s="424" t="s">
        <v>159</v>
      </c>
      <c r="D3" s="424" t="s">
        <v>160</v>
      </c>
      <c r="E3" s="424" t="s">
        <v>161</v>
      </c>
      <c r="F3" s="424" t="s">
        <v>162</v>
      </c>
      <c r="G3" s="425" t="s">
        <v>163</v>
      </c>
      <c r="H3" s="424" t="s">
        <v>164</v>
      </c>
      <c r="I3" s="424" t="s">
        <v>173</v>
      </c>
      <c r="J3" s="424" t="s">
        <v>174</v>
      </c>
      <c r="M3" s="649" t="s">
        <v>108</v>
      </c>
      <c r="N3" s="649"/>
      <c r="O3" s="426" t="s">
        <v>107</v>
      </c>
    </row>
    <row r="4" spans="1:15" ht="15.75">
      <c r="A4" s="427">
        <f>+IF('1_ENTREGA'!A8="","",'1_ENTREGA'!A8)</f>
        <v>1</v>
      </c>
      <c r="B4" s="428" t="str">
        <f t="shared" ref="B4:B6" si="0">IF(A4="","",VLOOKUP(A4,LISTA_OFERENTES,2,FALSE))</f>
        <v>Instrumentación y Servicios S.A.S</v>
      </c>
      <c r="C4" s="429" t="s">
        <v>220</v>
      </c>
      <c r="D4" s="429" t="s">
        <v>220</v>
      </c>
      <c r="E4" s="430" t="s">
        <v>220</v>
      </c>
      <c r="F4" s="429" t="s">
        <v>220</v>
      </c>
      <c r="G4" s="430" t="s">
        <v>220</v>
      </c>
      <c r="H4" s="430" t="s">
        <v>220</v>
      </c>
      <c r="I4" s="430" t="s">
        <v>237</v>
      </c>
      <c r="J4" s="429" t="s">
        <v>220</v>
      </c>
      <c r="M4" s="431">
        <v>1</v>
      </c>
      <c r="N4" s="432" t="str">
        <f t="shared" ref="N4:N6" si="1">VLOOKUP(M4,LISTA_OFERENTES,2,FALSE)</f>
        <v>Instrumentación y Servicios S.A.S</v>
      </c>
      <c r="O4" s="432" t="str">
        <f>IF(AND(C4="CUMPLE",D4="CUMPLE",E4="CUMPLE",F4="CUMPLE",G4="CUMPLE",H4="CUMPLE",I4="CUMPLE",J4="CUMPLE"),"H",IF(OR(C4=0,D4=0,E4=0,F4=0,G4=0,H4=0,I4=0,J4=0)," ","NH"))</f>
        <v>NH</v>
      </c>
    </row>
    <row r="5" spans="1:15" ht="15.75">
      <c r="A5" s="427">
        <f>+IF('1_ENTREGA'!A9="","",'1_ENTREGA'!A9)</f>
        <v>2</v>
      </c>
      <c r="B5" s="428" t="str">
        <f t="shared" si="0"/>
        <v>CTL Company Ltda</v>
      </c>
      <c r="C5" s="429" t="s">
        <v>220</v>
      </c>
      <c r="D5" s="429" t="s">
        <v>220</v>
      </c>
      <c r="E5" s="430" t="s">
        <v>220</v>
      </c>
      <c r="F5" s="429" t="s">
        <v>220</v>
      </c>
      <c r="G5" s="430" t="s">
        <v>220</v>
      </c>
      <c r="H5" s="430" t="s">
        <v>220</v>
      </c>
      <c r="I5" s="430" t="s">
        <v>220</v>
      </c>
      <c r="J5" s="429" t="s">
        <v>220</v>
      </c>
      <c r="M5" s="431">
        <v>2</v>
      </c>
      <c r="N5" s="432" t="str">
        <f t="shared" si="1"/>
        <v>CTL Company Ltda</v>
      </c>
      <c r="O5" s="432" t="str">
        <f>IF(AND(C5="CUMPLE",D5="CUMPLE",E5="CUMPLE",F5="CUMPLE",G5="CUMPLE",H5="CUMPLE",I5="CUMPLE",J5="CUMPLE"),"H",IF(OR(C5=0,D5=0,E5=0,F5=0,G5=0,H5=0,I5=0,J5=0)," ","NH"))</f>
        <v>H</v>
      </c>
    </row>
    <row r="6" spans="1:15" ht="15.75">
      <c r="A6" s="427">
        <f>+IF('1_ENTREGA'!A10="","",'1_ENTREGA'!A10)</f>
        <v>3</v>
      </c>
      <c r="B6" s="428" t="str">
        <f t="shared" si="0"/>
        <v>Avantika Colombia S.A.S</v>
      </c>
      <c r="C6" s="429" t="s">
        <v>220</v>
      </c>
      <c r="D6" s="429" t="s">
        <v>220</v>
      </c>
      <c r="E6" s="430" t="s">
        <v>220</v>
      </c>
      <c r="F6" s="429" t="s">
        <v>220</v>
      </c>
      <c r="G6" s="430" t="s">
        <v>220</v>
      </c>
      <c r="H6" s="430" t="s">
        <v>220</v>
      </c>
      <c r="I6" s="430" t="s">
        <v>220</v>
      </c>
      <c r="J6" s="429" t="s">
        <v>220</v>
      </c>
      <c r="M6" s="431">
        <v>3</v>
      </c>
      <c r="N6" s="432" t="str">
        <f t="shared" si="1"/>
        <v>Avantika Colombia S.A.S</v>
      </c>
      <c r="O6" s="432" t="str">
        <f>IF(AND(C6="CUMPLE",D6="CUMPLE",E6="CUMPLE",F6="CUMPLE",G6="CUMPLE",H6="CUMPLE",I6="CUMPLE",J6="CUMPLE"),"H",IF(OR(C6=0,D6=0,E6=0,F6=0,G6=0,H6=0,I6=0,J6=0)," ","NH"))</f>
        <v>H</v>
      </c>
    </row>
  </sheetData>
  <sheetProtection algorithmName="SHA-512" hashValue="goVmdO5THoos127TyAeRGQivTZHlRbcBjUdp6HivxY3sDK9vfPA+ruJIa0QIYMZ1mYLi3JDPQsbOdzX1g6ZlVw==" saltValue="ZR1YHrqwoqLyjyusJ/KxOw==" spinCount="100000" sheet="1" objects="1" scenarios="1"/>
  <mergeCells count="2">
    <mergeCell ref="M3:N3"/>
    <mergeCell ref="A1:J1"/>
  </mergeCells>
  <conditionalFormatting sqref="C4:I6">
    <cfRule type="cellIs" dxfId="12" priority="23" operator="equal">
      <formula>"NO CUMPLE"</formula>
    </cfRule>
    <cfRule type="cellIs" dxfId="11" priority="24" operator="equal">
      <formula>"CUMPLE"</formula>
    </cfRule>
  </conditionalFormatting>
  <conditionalFormatting sqref="J4:J6">
    <cfRule type="cellIs" dxfId="10" priority="1" operator="equal">
      <formula>"NO CUMPLE"</formula>
    </cfRule>
    <cfRule type="cellIs" dxfId="9" priority="2" operator="equal">
      <formula>"CUMPLE"</formula>
    </cfRule>
  </conditionalFormatting>
  <dataValidations count="1">
    <dataValidation type="list" allowBlank="1" showInputMessage="1" showErrorMessage="1" sqref="C4:J6">
      <formula1>"CUMPLE,NO CUMPLE"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4:K8"/>
  <sheetViews>
    <sheetView zoomScale="80" zoomScaleNormal="80" workbookViewId="0">
      <selection activeCell="J7" sqref="J7"/>
    </sheetView>
  </sheetViews>
  <sheetFormatPr baseColWidth="10" defaultRowHeight="12.75"/>
  <cols>
    <col min="1" max="1" width="9.7109375" style="28" customWidth="1"/>
    <col min="2" max="2" width="55.42578125" style="28" customWidth="1"/>
    <col min="3" max="3" width="22.140625" style="29" customWidth="1"/>
    <col min="4" max="4" width="20.7109375" style="29" customWidth="1"/>
    <col min="5" max="5" width="23.5703125" style="30" customWidth="1"/>
    <col min="6" max="6" width="25.5703125" style="28" customWidth="1"/>
    <col min="7" max="8" width="19.7109375" style="28" customWidth="1"/>
    <col min="9" max="9" width="20.28515625" style="28" customWidth="1"/>
    <col min="10" max="10" width="68.7109375" style="28" customWidth="1"/>
    <col min="11" max="32" width="20.7109375" style="28" customWidth="1"/>
    <col min="33" max="16384" width="11.42578125" style="28"/>
  </cols>
  <sheetData>
    <row r="4" spans="1:11" ht="60.75">
      <c r="A4" s="433" t="s">
        <v>25</v>
      </c>
      <c r="B4" s="434" t="s">
        <v>3</v>
      </c>
      <c r="C4" s="433" t="s">
        <v>103</v>
      </c>
      <c r="D4" s="433" t="s">
        <v>104</v>
      </c>
      <c r="E4" s="433" t="s">
        <v>105</v>
      </c>
      <c r="F4" s="433" t="s">
        <v>127</v>
      </c>
      <c r="G4" s="433" t="s">
        <v>256</v>
      </c>
      <c r="H4" s="433" t="s">
        <v>255</v>
      </c>
      <c r="I4" s="435" t="s">
        <v>109</v>
      </c>
      <c r="J4" s="433" t="s">
        <v>156</v>
      </c>
      <c r="K4" s="39"/>
    </row>
    <row r="5" spans="1:11" ht="125.25" customHeight="1">
      <c r="A5" s="436">
        <v>1</v>
      </c>
      <c r="B5" s="437" t="str">
        <f t="shared" ref="B5:B7" si="0">VLOOKUP(A5,LISTA_OFERENTES,2,FALSE)</f>
        <v>Instrumentación y Servicios S.A.S</v>
      </c>
      <c r="C5" s="438" t="str">
        <f ca="1">VLOOKUP(A5,EXPERIENCIA,4,FALSE)</f>
        <v>H</v>
      </c>
      <c r="D5" s="438" t="str">
        <f t="shared" ref="D5:D7" si="1">VLOOKUP(A5,C_FINANCIERA,3,FALSE)</f>
        <v>H</v>
      </c>
      <c r="E5" s="438" t="str">
        <f t="shared" ref="E5:E7" si="2">VLOOKUP(A5,R_COMERCIALES,3,FALSE)</f>
        <v>NH</v>
      </c>
      <c r="F5" s="439" t="str">
        <f t="shared" ref="F5:F7" si="3">VLOOKUP(A5,PRESUPUESTO,3,FALSE)</f>
        <v>H</v>
      </c>
      <c r="G5" s="440" t="s">
        <v>254</v>
      </c>
      <c r="H5" s="440" t="str">
        <f>IFERROR(HLOOKUP(B5,R_TECNICOS,9,FALSE),"NH")</f>
        <v>NH</v>
      </c>
      <c r="I5" s="441" t="str">
        <f ca="1">IFERROR(IF(AND(C5="H",D5="H",E5="H",F5="H",G5="H",H5="H"),"H","NH")," ")</f>
        <v>NH</v>
      </c>
      <c r="J5" s="442" t="s">
        <v>268</v>
      </c>
      <c r="K5" s="39"/>
    </row>
    <row r="6" spans="1:11" ht="135.75" customHeight="1">
      <c r="A6" s="436">
        <v>2</v>
      </c>
      <c r="B6" s="437" t="str">
        <f t="shared" si="0"/>
        <v>CTL Company Ltda</v>
      </c>
      <c r="C6" s="438" t="str">
        <f t="shared" ref="C6:C7" ca="1" si="4">VLOOKUP(A6,EXPERIENCIA,4,FALSE)</f>
        <v>H</v>
      </c>
      <c r="D6" s="438" t="str">
        <f t="shared" si="1"/>
        <v>H</v>
      </c>
      <c r="E6" s="438" t="str">
        <f t="shared" si="2"/>
        <v>H</v>
      </c>
      <c r="F6" s="439" t="str">
        <f>VLOOKUP(A6,PRESUPUESTO,3,FALSE)</f>
        <v>H</v>
      </c>
      <c r="G6" s="440" t="s">
        <v>254</v>
      </c>
      <c r="H6" s="440" t="str">
        <f>IFERROR(HLOOKUP(B6,R_TECNICOS,9,FALSE),"NH")</f>
        <v>H</v>
      </c>
      <c r="I6" s="441" t="str">
        <f t="shared" ref="I6:I7" ca="1" si="5">IFERROR(IF(AND(C6="H",D6="H",E6="H",F6="H",G6="H",H6="H"),"H","NH")," ")</f>
        <v>H</v>
      </c>
      <c r="J6" s="442" t="s">
        <v>269</v>
      </c>
      <c r="K6" s="39"/>
    </row>
    <row r="7" spans="1:11" ht="190.5" customHeight="1">
      <c r="A7" s="436">
        <v>3</v>
      </c>
      <c r="B7" s="437" t="str">
        <f t="shared" si="0"/>
        <v>Avantika Colombia S.A.S</v>
      </c>
      <c r="C7" s="438" t="str">
        <f t="shared" ca="1" si="4"/>
        <v>H</v>
      </c>
      <c r="D7" s="438" t="str">
        <f t="shared" si="1"/>
        <v>H</v>
      </c>
      <c r="E7" s="438" t="str">
        <f t="shared" si="2"/>
        <v>H</v>
      </c>
      <c r="F7" s="439" t="str">
        <f t="shared" si="3"/>
        <v>H</v>
      </c>
      <c r="G7" s="440" t="s">
        <v>254</v>
      </c>
      <c r="H7" s="440" t="str">
        <f>IFERROR(HLOOKUP(B7,R_TECNICOS,9,FALSE),"NH")</f>
        <v>NH</v>
      </c>
      <c r="I7" s="441" t="str">
        <f t="shared" ca="1" si="5"/>
        <v>NH</v>
      </c>
      <c r="J7" s="442" t="s">
        <v>267</v>
      </c>
      <c r="K7" s="39"/>
    </row>
    <row r="8" spans="1:11">
      <c r="G8" s="25"/>
      <c r="H8" s="25"/>
    </row>
  </sheetData>
  <sheetProtection algorithmName="SHA-512" hashValue="ssvcBjI96utSeW1UdZ7eSomZ9UXmJoxWZacQ4eMdlnebhUcmkNVDagVb+/CHTkZiyZdP0tEH9jHf9eO5oXTiVA==" saltValue="9I4AROr5hNKagm+yIKwa4A==" spinCount="100000" sheet="1" objects="1" scenarios="1"/>
  <conditionalFormatting sqref="I5:I7">
    <cfRule type="cellIs" dxfId="8" priority="17" operator="equal">
      <formula>"NH"</formula>
    </cfRule>
    <cfRule type="cellIs" dxfId="7" priority="18" operator="equal">
      <formula>"H"</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O164"/>
  <sheetViews>
    <sheetView zoomScale="70" zoomScaleNormal="70" workbookViewId="0">
      <selection sqref="A1:N83"/>
    </sheetView>
  </sheetViews>
  <sheetFormatPr baseColWidth="10" defaultColWidth="11.42578125" defaultRowHeight="12.75"/>
  <cols>
    <col min="1" max="1" width="11.42578125" style="28"/>
    <col min="2" max="2" width="33.5703125" style="28" customWidth="1"/>
    <col min="3" max="3" width="21.42578125" style="28" customWidth="1"/>
    <col min="4" max="4" width="17.28515625" style="28" customWidth="1"/>
    <col min="5" max="5" width="13.85546875" style="28" customWidth="1"/>
    <col min="6" max="6" width="17.140625" style="28" customWidth="1"/>
    <col min="7" max="7" width="6.7109375" style="28" customWidth="1"/>
    <col min="8" max="8" width="17" style="28" customWidth="1"/>
    <col min="9" max="9" width="6.7109375" style="28" customWidth="1"/>
    <col min="10" max="10" width="14.85546875" style="28" customWidth="1"/>
    <col min="11" max="11" width="6.7109375" style="28" customWidth="1"/>
    <col min="12" max="12" width="18.7109375" style="28" customWidth="1"/>
    <col min="13" max="13" width="6.7109375" style="28" customWidth="1"/>
    <col min="14" max="14" width="15.28515625" style="28" customWidth="1"/>
    <col min="15" max="15" width="6.7109375" style="28" customWidth="1"/>
    <col min="16" max="16384" width="11.42578125" style="28"/>
  </cols>
  <sheetData>
    <row r="1" spans="1:15" s="31" customFormat="1" ht="24.75" customHeight="1">
      <c r="A1" s="199"/>
      <c r="B1" s="200" t="s">
        <v>79</v>
      </c>
      <c r="C1" s="201"/>
      <c r="D1" s="201"/>
      <c r="E1" s="201"/>
      <c r="F1" s="201"/>
      <c r="G1" s="201"/>
      <c r="H1" s="201"/>
      <c r="I1" s="201"/>
      <c r="J1" s="201"/>
      <c r="K1" s="201"/>
      <c r="L1" s="201"/>
      <c r="M1" s="201"/>
      <c r="N1" s="201"/>
      <c r="O1" s="68"/>
    </row>
    <row r="2" spans="1:15">
      <c r="A2" s="193"/>
      <c r="B2" s="193"/>
      <c r="C2" s="193"/>
      <c r="D2" s="193"/>
      <c r="E2" s="193"/>
      <c r="F2" s="193"/>
      <c r="G2" s="193"/>
      <c r="H2" s="193"/>
      <c r="I2" s="193"/>
      <c r="J2" s="193"/>
      <c r="K2" s="193"/>
      <c r="L2" s="193"/>
      <c r="M2" s="193"/>
      <c r="N2" s="193"/>
    </row>
    <row r="3" spans="1:15" ht="15">
      <c r="A3" s="193"/>
      <c r="B3" s="674" t="s">
        <v>49</v>
      </c>
      <c r="C3" s="674"/>
      <c r="D3" s="193"/>
      <c r="E3" s="193"/>
      <c r="F3" s="652" t="s">
        <v>135</v>
      </c>
      <c r="G3" s="652"/>
      <c r="H3" s="652"/>
      <c r="I3" s="652"/>
      <c r="J3" s="193"/>
      <c r="K3" s="193"/>
      <c r="L3" s="663" t="s">
        <v>78</v>
      </c>
      <c r="M3" s="663"/>
      <c r="N3" s="663"/>
    </row>
    <row r="4" spans="1:15" s="32" customFormat="1" ht="30.75" customHeight="1">
      <c r="A4" s="202"/>
      <c r="B4" s="256" t="s">
        <v>58</v>
      </c>
      <c r="C4" s="203">
        <v>4</v>
      </c>
      <c r="D4" s="202"/>
      <c r="E4" s="202"/>
      <c r="F4" s="674" t="s">
        <v>59</v>
      </c>
      <c r="G4" s="674"/>
      <c r="H4" s="674" t="s">
        <v>60</v>
      </c>
      <c r="I4" s="674"/>
      <c r="J4" s="202"/>
      <c r="K4" s="202"/>
      <c r="L4" s="664" t="str">
        <f>+'10. EVALUACIÓN'!H7</f>
        <v>Media aritmética</v>
      </c>
      <c r="M4" s="665"/>
      <c r="N4" s="666"/>
    </row>
    <row r="5" spans="1:15" ht="30.75" customHeight="1">
      <c r="A5" s="193"/>
      <c r="B5" s="257" t="s">
        <v>61</v>
      </c>
      <c r="C5" s="203">
        <v>11</v>
      </c>
      <c r="D5" s="193"/>
      <c r="E5" s="193"/>
      <c r="F5" s="675">
        <f>'10. EVALUACIÓN'!I11</f>
        <v>150</v>
      </c>
      <c r="G5" s="675"/>
      <c r="H5" s="675">
        <f>'10. EVALUACIÓN'!J11</f>
        <v>50</v>
      </c>
      <c r="I5" s="675"/>
      <c r="J5" s="193"/>
      <c r="K5" s="193"/>
      <c r="L5" s="667"/>
      <c r="M5" s="668"/>
      <c r="N5" s="669"/>
    </row>
    <row r="6" spans="1:15">
      <c r="A6" s="193"/>
      <c r="B6" s="196"/>
      <c r="C6" s="196"/>
      <c r="D6" s="193"/>
      <c r="E6" s="204"/>
      <c r="F6" s="193"/>
      <c r="G6" s="193"/>
      <c r="H6" s="193"/>
      <c r="I6" s="193"/>
      <c r="J6" s="193"/>
      <c r="K6" s="193"/>
      <c r="L6" s="193"/>
      <c r="M6" s="193"/>
      <c r="N6" s="193"/>
    </row>
    <row r="7" spans="1:15" s="33" customFormat="1" ht="21" customHeight="1">
      <c r="A7" s="205"/>
      <c r="B7" s="670" t="s">
        <v>14</v>
      </c>
      <c r="C7" s="256" t="s">
        <v>50</v>
      </c>
      <c r="D7" s="657">
        <f>IF('1_ENTREGA'!A8="","",'1_ENTREGA'!A8)</f>
        <v>1</v>
      </c>
      <c r="E7" s="657"/>
      <c r="F7" s="657">
        <f>IF('1_ENTREGA'!A9="","",'1_ENTREGA'!A9)</f>
        <v>2</v>
      </c>
      <c r="G7" s="658"/>
      <c r="H7" s="671">
        <v>3</v>
      </c>
      <c r="I7" s="671"/>
      <c r="J7" s="206"/>
      <c r="K7" s="206"/>
      <c r="L7" s="206"/>
      <c r="M7" s="206"/>
      <c r="N7" s="206"/>
      <c r="O7" s="71"/>
    </row>
    <row r="8" spans="1:15" s="32" customFormat="1" ht="35.25" customHeight="1">
      <c r="A8" s="202"/>
      <c r="B8" s="670"/>
      <c r="C8" s="207" t="s">
        <v>64</v>
      </c>
      <c r="D8" s="655" t="str">
        <f>IF(D7="","",IF('10. EVALUACIÓN'!E13="H","Habilitado","No habilitado"))</f>
        <v>No habilitado</v>
      </c>
      <c r="E8" s="656"/>
      <c r="F8" s="655" t="str">
        <f>IF(F7="","",IF('10. EVALUACIÓN'!E14="H","Habilitado","No habilitado"))</f>
        <v>Habilitado</v>
      </c>
      <c r="G8" s="656"/>
      <c r="H8" s="659" t="str">
        <f>IF(H7="","",IF('10. EVALUACIÓN'!E15="H","Habilitado","No habilitado"))</f>
        <v>No habilitado</v>
      </c>
      <c r="I8" s="660"/>
      <c r="J8" s="208"/>
      <c r="K8" s="209"/>
      <c r="L8" s="208"/>
      <c r="M8" s="209"/>
      <c r="N8" s="208"/>
      <c r="O8" s="47"/>
    </row>
    <row r="9" spans="1:15" s="32" customFormat="1" ht="23.25" customHeight="1">
      <c r="A9" s="202"/>
      <c r="B9" s="670" t="s">
        <v>74</v>
      </c>
      <c r="C9" s="670"/>
      <c r="D9" s="672" t="str">
        <f>IF(D14="","",SUM(E14:E70))</f>
        <v/>
      </c>
      <c r="E9" s="673"/>
      <c r="F9" s="672">
        <f>IF(F14="","",SUM(G14:G70))</f>
        <v>150</v>
      </c>
      <c r="G9" s="673"/>
      <c r="H9" s="661" t="str">
        <f>IF(H14="","",SUM(I14:I70))</f>
        <v/>
      </c>
      <c r="I9" s="662"/>
      <c r="J9" s="210"/>
      <c r="K9" s="211"/>
      <c r="L9" s="210"/>
      <c r="M9" s="211"/>
      <c r="N9" s="210"/>
      <c r="O9" s="72"/>
    </row>
    <row r="10" spans="1:15" s="32" customFormat="1" ht="23.25" customHeight="1">
      <c r="A10" s="202"/>
      <c r="B10" s="670" t="s">
        <v>76</v>
      </c>
      <c r="C10" s="670"/>
      <c r="D10" s="672" t="str">
        <f>IF(D73="","",SUM(E73:E162))</f>
        <v/>
      </c>
      <c r="E10" s="673"/>
      <c r="F10" s="672">
        <f>IF(F73="","",SUM(G73:G162))</f>
        <v>50.000000000000007</v>
      </c>
      <c r="G10" s="673"/>
      <c r="H10" s="661" t="str">
        <f>IF(H73="","",SUM(I73:I162))</f>
        <v/>
      </c>
      <c r="I10" s="662"/>
      <c r="J10" s="210"/>
      <c r="K10" s="211"/>
      <c r="L10" s="210"/>
      <c r="M10" s="211"/>
      <c r="N10" s="210"/>
      <c r="O10" s="72"/>
    </row>
    <row r="11" spans="1:15" s="32" customFormat="1" ht="23.25" customHeight="1">
      <c r="A11" s="202"/>
      <c r="B11" s="670" t="s">
        <v>75</v>
      </c>
      <c r="C11" s="670"/>
      <c r="D11" s="672" t="str">
        <f>IF(D7="","",IF(D8="No habilitado","",D9+D10))</f>
        <v/>
      </c>
      <c r="E11" s="673"/>
      <c r="F11" s="672">
        <f>IF(F7="","",IF(F8="No habilitado","",F9+F10))</f>
        <v>200</v>
      </c>
      <c r="G11" s="673"/>
      <c r="H11" s="661" t="str">
        <f>IF(H7="","",IF(H8="No habilitado","",H9+H10))</f>
        <v/>
      </c>
      <c r="I11" s="662"/>
      <c r="J11" s="210"/>
      <c r="K11" s="211"/>
      <c r="L11" s="210"/>
      <c r="M11" s="211"/>
      <c r="N11" s="210"/>
      <c r="O11" s="72"/>
    </row>
    <row r="12" spans="1:15" ht="21" customHeight="1">
      <c r="A12" s="193"/>
      <c r="B12" s="193"/>
      <c r="C12" s="193"/>
      <c r="D12" s="193"/>
      <c r="E12" s="193"/>
      <c r="F12" s="193"/>
      <c r="G12" s="193"/>
      <c r="H12" s="193"/>
      <c r="I12" s="193"/>
      <c r="J12" s="212"/>
      <c r="K12" s="212"/>
      <c r="L12" s="212"/>
      <c r="M12" s="212"/>
      <c r="N12" s="212"/>
      <c r="O12" s="46"/>
    </row>
    <row r="13" spans="1:15" ht="21.75" customHeight="1">
      <c r="A13" s="193"/>
      <c r="B13" s="653" t="s">
        <v>62</v>
      </c>
      <c r="C13" s="654"/>
      <c r="D13" s="654"/>
      <c r="E13" s="654"/>
      <c r="F13" s="654"/>
      <c r="G13" s="654"/>
      <c r="H13" s="654"/>
      <c r="I13" s="654"/>
      <c r="J13" s="654"/>
      <c r="K13" s="213"/>
      <c r="L13" s="213"/>
      <c r="M13" s="213"/>
      <c r="N13" s="213"/>
      <c r="O13" s="36"/>
    </row>
    <row r="14" spans="1:15" s="32" customFormat="1" ht="28.5" customHeight="1">
      <c r="A14" s="214">
        <v>1</v>
      </c>
      <c r="B14" s="195">
        <v>1.1000000000000001</v>
      </c>
      <c r="C14" s="215">
        <f>IF(B14="","",IF($L$4="Media aritmética",ROUND(AVERAGE(D14,F14,H14),2),ROUND(_xlfn.STDEV.P(D14,F14,H14),2)))</f>
        <v>34953414</v>
      </c>
      <c r="D14" s="216" t="str">
        <f t="shared" ref="D14:D45" si="0">IF($D$8="Habilitado",IF($B14="","",ROUND(VLOOKUP($B14,UNITARIO_1,5,FALSE),2)),"")</f>
        <v/>
      </c>
      <c r="E14" s="217" t="str">
        <f>IF($B14="","",IF(D14="","",IF($L$4="Media aritmética",(D14&lt;=$C14)*($F$5/$C$4)+(D14&gt;$C14)*0,IF(AND(ROUND(AVERAGE($D14,$F14,$H14),2)-$C14/2&lt;=D14,(ROUND(AVERAGE($D14,$F14,$H14),2)+$C14/2&gt;D14)),($F$5/$C$4),0))))</f>
        <v/>
      </c>
      <c r="F14" s="218">
        <f t="shared" ref="F14:F45" si="1">IF($F$8="Habilitado",IF($B14="","",ROUND(VLOOKUP($B14,UNITARIO_2,5,FALSE),2)),"")</f>
        <v>34953414</v>
      </c>
      <c r="G14" s="217">
        <f>IF($B14="","",IF(F14="","",IF($L$4="Media aritmética",(F14&lt;=$C14)*($F$5/$C$4)+(F14&gt;$C14)*0,IF(AND(ROUND(AVERAGE($D14,$F14,$H14),2)-$C14/2&lt;=F14,(ROUND(AVERAGE($D14,$F14,$H14),2)+$C14/2&gt;F14)),($F$5/$C$4),0))))</f>
        <v>37.5</v>
      </c>
      <c r="H14" s="218" t="str">
        <f t="shared" ref="H14:H45" si="2">IF($H$8="Habilitado",IF($B14="","",ROUND(VLOOKUP($B14,UNITARIO_3,5,FALSE),2)),"")</f>
        <v/>
      </c>
      <c r="I14" s="217" t="str">
        <f>IF($B14="","",IF(H14="","",IF($L$4="Media aritmética",(H14&lt;=$C14)*($F$5/$C$4)+(H14&gt;$C14)*0,IF(AND(ROUND(AVERAGE($D14,$F14,$H14),2)-$C14/2&lt;=H14,(ROUND(AVERAGE($D14,$F14,$H14),2)+$C14/2&gt;H14)),($F$5/$C$4),0))))</f>
        <v/>
      </c>
      <c r="J14" s="219"/>
      <c r="K14" s="220"/>
      <c r="L14" s="219"/>
      <c r="M14" s="220"/>
      <c r="N14" s="219"/>
      <c r="O14" s="70"/>
    </row>
    <row r="15" spans="1:15" s="32" customFormat="1" ht="33.75" customHeight="1">
      <c r="A15" s="214">
        <v>2</v>
      </c>
      <c r="B15" s="195">
        <v>1.2</v>
      </c>
      <c r="C15" s="215">
        <f t="shared" ref="C15:C17" si="3">IF(B15="","",IF($L$4="Media aritmética",ROUND(AVERAGE(D15,F15,H15),2),ROUND(_xlfn.STDEV.P(D15,F15,H15),2)))</f>
        <v>33839144</v>
      </c>
      <c r="D15" s="216" t="str">
        <f t="shared" si="0"/>
        <v/>
      </c>
      <c r="E15" s="217" t="str">
        <f t="shared" ref="E15:E17" si="4">IF($B15="","",IF(D15="","",IF($L$4="Media aritmética",(D15&lt;=$C15)*($F$5/$C$4)+(D15&gt;$C15)*0,IF(AND(ROUND(AVERAGE($D15,$F15,$H15),2)-$C15/2&lt;=D15,(ROUND(AVERAGE($D15,$F15,$H15),2)+$C15/2&gt;D15)),($F$5/$C$4),0))))</f>
        <v/>
      </c>
      <c r="F15" s="218">
        <f t="shared" si="1"/>
        <v>33839144</v>
      </c>
      <c r="G15" s="217">
        <f t="shared" ref="G15" si="5">IF($B15="","",IF(F15="","",IF($L$4="Media aritmética",(F15&lt;=$C15)*($F$5/$C$4)+(F15&gt;$C15)*0,IF(AND(ROUND(AVERAGE($D15,$F15,$H15),2)-$C15/2&lt;=F15,(ROUND(AVERAGE($D15,$F15,$H15),2)+$C15/2&gt;F15)),($F$5/$C$4),0))))</f>
        <v>37.5</v>
      </c>
      <c r="H15" s="218" t="str">
        <f t="shared" si="2"/>
        <v/>
      </c>
      <c r="I15" s="217" t="str">
        <f t="shared" ref="I15:I17" si="6">IF($B15="","",IF(H15="","",IF($L$4="Media aritmética",(H15&lt;=$C15)*($F$5/$C$4)+(H15&gt;$C15)*0,IF(AND(ROUND(AVERAGE($D15,$F15,$H15),2)-$C15/2&lt;=H15,(ROUND(AVERAGE($D15,$F15,$H15),2)+$C15/2&gt;H15)),($F$5/$C$4),0))))</f>
        <v/>
      </c>
      <c r="J15" s="219"/>
      <c r="K15" s="220"/>
      <c r="L15" s="219"/>
      <c r="M15" s="220"/>
      <c r="N15" s="219"/>
      <c r="O15" s="70"/>
    </row>
    <row r="16" spans="1:15" s="32" customFormat="1" ht="51" customHeight="1">
      <c r="A16" s="214">
        <v>3</v>
      </c>
      <c r="B16" s="195">
        <v>1.4</v>
      </c>
      <c r="C16" s="215">
        <f t="shared" si="3"/>
        <v>30655515</v>
      </c>
      <c r="D16" s="216" t="str">
        <f t="shared" si="0"/>
        <v/>
      </c>
      <c r="E16" s="217" t="str">
        <f t="shared" si="4"/>
        <v/>
      </c>
      <c r="F16" s="218">
        <f t="shared" si="1"/>
        <v>30655515</v>
      </c>
      <c r="G16" s="217">
        <f>IF($B16="","",IF(F16="","",IF($L$4="Media aritmética",(F16&lt;=$C16)*($F$5/$C$4)+(F16&gt;$C16)*0,IF(AND(ROUND(AVERAGE($D16,$F16,$H16),2)-$C16/2&lt;=F16,(ROUND(AVERAGE($D16,$F16,$H16),2)+$C16/2&gt;F16)),($F$5/$C$4),0))))</f>
        <v>37.5</v>
      </c>
      <c r="H16" s="218" t="str">
        <f t="shared" si="2"/>
        <v/>
      </c>
      <c r="I16" s="217" t="str">
        <f t="shared" si="6"/>
        <v/>
      </c>
      <c r="J16" s="219"/>
      <c r="K16" s="220"/>
      <c r="L16" s="219"/>
      <c r="M16" s="220"/>
      <c r="N16" s="219"/>
      <c r="O16" s="70"/>
    </row>
    <row r="17" spans="1:15" s="32" customFormat="1" ht="28.5" customHeight="1">
      <c r="A17" s="214">
        <v>4</v>
      </c>
      <c r="B17" s="195">
        <v>2.1</v>
      </c>
      <c r="C17" s="215">
        <f t="shared" si="3"/>
        <v>25971220</v>
      </c>
      <c r="D17" s="216" t="str">
        <f t="shared" si="0"/>
        <v/>
      </c>
      <c r="E17" s="217" t="str">
        <f t="shared" si="4"/>
        <v/>
      </c>
      <c r="F17" s="218">
        <f t="shared" si="1"/>
        <v>25971220</v>
      </c>
      <c r="G17" s="217">
        <f>IF($B17="","",IF(F17="","",IF($L$4="Media aritmética",(F17&lt;=$C17)*($F$5/$C$4)+(F17&gt;$C17)*0,IF(AND(ROUND(AVERAGE($D17,$F17,$H17),2)-$C17/2&lt;=F17,(ROUND(AVERAGE($D17,$F17,$H17),2)+$C17/2&gt;F17)),($F$5/$C$4),0))))</f>
        <v>37.5</v>
      </c>
      <c r="H17" s="218" t="str">
        <f t="shared" si="2"/>
        <v/>
      </c>
      <c r="I17" s="217" t="str">
        <f t="shared" si="6"/>
        <v/>
      </c>
      <c r="J17" s="219"/>
      <c r="K17" s="220"/>
      <c r="L17" s="219"/>
      <c r="M17" s="220"/>
      <c r="N17" s="219"/>
      <c r="O17" s="70"/>
    </row>
    <row r="18" spans="1:15" s="32" customFormat="1" ht="41.25" hidden="1" customHeight="1">
      <c r="A18" s="214">
        <v>5</v>
      </c>
      <c r="B18" s="221"/>
      <c r="C18" s="215" t="str">
        <f>IF(B18="","",IF($L$4="Media aritmética",ROUND(AVERAGE(D18,F18,H18,J18,L18,N18,#REF!,#REF!,#REF!,#REF!,#REF!,#REF!,#REF!,#REF!,#REF!),2),ROUND(_xlfn.STDEV.P(D18,F18,H18,J18,L18,N18,#REF!,#REF!,#REF!,#REF!,#REF!,#REF!,#REF!,#REF!,#REF!),2)))</f>
        <v/>
      </c>
      <c r="D18" s="216" t="str">
        <f t="shared" si="0"/>
        <v/>
      </c>
      <c r="E18" s="222" t="str">
        <f>IF($B18="","",IF(D18="","",IF($L$4="Media aritmética",(D18&lt;=$C18)*($F$5/$C$4)+(D18&gt;$C18)*0,IF(AND(ROUND(AVERAGE($D18,$F18,$H18,$J18,$L18,$N18,#REF!,#REF!,#REF!,#REF!,#REF!,#REF!,#REF!,#REF!,#REF!),2)-$C18/2&lt;=D18,(ROUND(AVERAGE($D18,$F18,$H18,$J18,$L18,$N18,#REF!,#REF!,#REF!,#REF!,#REF!,#REF!,#REF!,#REF!,#REF!),2)+$C18/2&gt;D18)),($F$5/$C$4),0))))</f>
        <v/>
      </c>
      <c r="F18" s="223" t="str">
        <f t="shared" si="1"/>
        <v/>
      </c>
      <c r="G18" s="222" t="str">
        <f>IF($B18="","",IF(F18="","",IF($L$4="Media aritmética",(F18&lt;=$C18)*($F$5/$C$4)+(F18&gt;$C18)*0,IF(AND(ROUND(AVERAGE($D18,$F18,$H18,$J18,$L18,$N18,#REF!,#REF!,#REF!,#REF!,#REF!,#REF!,#REF!,#REF!,#REF!),2)-$C18/2&lt;=F18,(ROUND(AVERAGE($D18,$F18,$H18,$J18,$L18,$N18,#REF!,#REF!,#REF!,#REF!,#REF!,#REF!,#REF!,#REF!,#REF!),2)+$C18/2&gt;F18)),($F$5/$C$4),0))))</f>
        <v/>
      </c>
      <c r="H18" s="223" t="str">
        <f t="shared" si="2"/>
        <v/>
      </c>
      <c r="I18" s="224" t="str">
        <f>IF($B18="","",IF(H18="","",IF($L$4="Media aritmética",(H18&lt;=$C18)*($F$5/$C$4)+(H18&gt;$C18)*0,IF(AND(ROUND(AVERAGE($D18,$F18,$H18,$J18,$L18,$N18,#REF!,#REF!,#REF!,#REF!,#REF!,#REF!,#REF!,#REF!,#REF!),2)-$C18/2&lt;=H18,(ROUND(AVERAGE($D18,$F18,$H18,$J18,$L18,$N18,#REF!,#REF!,#REF!,#REF!,#REF!,#REF!,#REF!,#REF!,#REF!),2)+$C18/2&gt;H18)),($F$5/$C$4),0))))</f>
        <v/>
      </c>
      <c r="J18" s="219"/>
      <c r="K18" s="220"/>
      <c r="L18" s="219"/>
      <c r="M18" s="220"/>
      <c r="N18" s="219"/>
      <c r="O18" s="70"/>
    </row>
    <row r="19" spans="1:15" s="32" customFormat="1" ht="42" hidden="1" customHeight="1">
      <c r="A19" s="214">
        <v>6</v>
      </c>
      <c r="B19" s="221"/>
      <c r="C19" s="215" t="str">
        <f>IF(B19="","",IF($L$4="Media aritmética",ROUND(AVERAGE(D19,F19,H19,J19,L19,N19,#REF!,#REF!,#REF!,#REF!,#REF!,#REF!,#REF!,#REF!,#REF!),2),ROUND(_xlfn.STDEV.P(D19,F19,H19,J19,L19,N19,#REF!,#REF!,#REF!,#REF!,#REF!,#REF!,#REF!,#REF!,#REF!),2)))</f>
        <v/>
      </c>
      <c r="D19" s="216" t="str">
        <f t="shared" si="0"/>
        <v/>
      </c>
      <c r="E19" s="222" t="str">
        <f>IF($B19="","",IF(D19="","",IF($L$4="Media aritmética",(D19&lt;=$C19)*($F$5/$C$4)+(D19&gt;$C19)*0,IF(AND(ROUND(AVERAGE($D19,$F19,$H19,$J19,$L19,$N19,#REF!,#REF!,#REF!,#REF!,#REF!,#REF!,#REF!,#REF!,#REF!),2)-$C19/2&lt;=D19,(ROUND(AVERAGE($D19,$F19,$H19,$J19,$L19,$N19,#REF!,#REF!,#REF!,#REF!,#REF!,#REF!,#REF!,#REF!,#REF!),2)+$C19/2&gt;D19)),($F$5/$C$4),0))))</f>
        <v/>
      </c>
      <c r="F19" s="223" t="str">
        <f t="shared" si="1"/>
        <v/>
      </c>
      <c r="G19" s="222" t="str">
        <f>IF($B19="","",IF(F19="","",IF($L$4="Media aritmética",(F19&lt;=$C19)*($F$5/$C$4)+(F19&gt;$C19)*0,IF(AND(ROUND(AVERAGE($D19,$F19,$H19,$J19,$L19,$N19,#REF!,#REF!,#REF!,#REF!,#REF!,#REF!,#REF!,#REF!,#REF!),2)-$C19/2&lt;=F19,(ROUND(AVERAGE($D19,$F19,$H19,$J19,$L19,$N19,#REF!,#REF!,#REF!,#REF!,#REF!,#REF!,#REF!,#REF!,#REF!),2)+$C19/2&gt;F19)),($F$5/$C$4),0))))</f>
        <v/>
      </c>
      <c r="H19" s="223" t="str">
        <f t="shared" si="2"/>
        <v/>
      </c>
      <c r="I19" s="224" t="str">
        <f>IF($B19="","",IF(H19="","",IF($L$4="Media aritmética",(H19&lt;=$C19)*($F$5/$C$4)+(H19&gt;$C19)*0,IF(AND(ROUND(AVERAGE($D19,$F19,$H19,$J19,$L19,$N19,#REF!,#REF!,#REF!,#REF!,#REF!,#REF!,#REF!,#REF!,#REF!),2)-$C19/2&lt;=H19,(ROUND(AVERAGE($D19,$F19,$H19,$J19,$L19,$N19,#REF!,#REF!,#REF!,#REF!,#REF!,#REF!,#REF!,#REF!,#REF!),2)+$C19/2&gt;H19)),($F$5/$C$4),0))))</f>
        <v/>
      </c>
      <c r="J19" s="219"/>
      <c r="K19" s="220"/>
      <c r="L19" s="219"/>
      <c r="M19" s="220"/>
      <c r="N19" s="219"/>
      <c r="O19" s="70"/>
    </row>
    <row r="20" spans="1:15" s="32" customFormat="1" ht="44.25" hidden="1" customHeight="1">
      <c r="A20" s="214">
        <v>7</v>
      </c>
      <c r="B20" s="221"/>
      <c r="C20" s="215" t="str">
        <f>IF(B20="","",IF($L$4="Media aritmética",ROUND(AVERAGE(D20,F20,H20,J20,L20,N20,#REF!,#REF!,#REF!,#REF!,#REF!,#REF!,#REF!,#REF!,#REF!),2),ROUND(_xlfn.STDEV.P(D20,F20,H20,J20,L20,N20,#REF!,#REF!,#REF!,#REF!,#REF!,#REF!,#REF!,#REF!,#REF!),2)))</f>
        <v/>
      </c>
      <c r="D20" s="216" t="str">
        <f t="shared" si="0"/>
        <v/>
      </c>
      <c r="E20" s="222" t="str">
        <f>IF($B20="","",IF(D20="","",IF($L$4="Media aritmética",(D20&lt;=$C20)*($F$5/$C$4)+(D20&gt;$C20)*0,IF(AND(ROUND(AVERAGE($D20,$F20,$H20,$J20,$L20,$N20,#REF!,#REF!,#REF!,#REF!,#REF!,#REF!,#REF!,#REF!,#REF!),2)-$C20/2&lt;=D20,(ROUND(AVERAGE($D20,$F20,$H20,$J20,$L20,$N20,#REF!,#REF!,#REF!,#REF!,#REF!,#REF!,#REF!,#REF!,#REF!),2)+$C20/2&gt;D20)),($F$5/$C$4),0))))</f>
        <v/>
      </c>
      <c r="F20" s="223" t="str">
        <f t="shared" si="1"/>
        <v/>
      </c>
      <c r="G20" s="222" t="str">
        <f>IF($B20="","",IF(F20="","",IF($L$4="Media aritmética",(F20&lt;=$C20)*($F$5/$C$4)+(F20&gt;$C20)*0,IF(AND(ROUND(AVERAGE($D20,$F20,$H20,$J20,$L20,$N20,#REF!,#REF!,#REF!,#REF!,#REF!,#REF!,#REF!,#REF!,#REF!),2)-$C20/2&lt;=F20,(ROUND(AVERAGE($D20,$F20,$H20,$J20,$L20,$N20,#REF!,#REF!,#REF!,#REF!,#REF!,#REF!,#REF!,#REF!,#REF!),2)+$C20/2&gt;F20)),($F$5/$C$4),0))))</f>
        <v/>
      </c>
      <c r="H20" s="223" t="str">
        <f t="shared" si="2"/>
        <v/>
      </c>
      <c r="I20" s="224" t="str">
        <f>IF($B20="","",IF(H20="","",IF($L$4="Media aritmética",(H20&lt;=$C20)*($F$5/$C$4)+(H20&gt;$C20)*0,IF(AND(ROUND(AVERAGE($D20,$F20,$H20,$J20,$L20,$N20,#REF!,#REF!,#REF!,#REF!,#REF!,#REF!,#REF!,#REF!,#REF!),2)-$C20/2&lt;=H20,(ROUND(AVERAGE($D20,$F20,$H20,$J20,$L20,$N20,#REF!,#REF!,#REF!,#REF!,#REF!,#REF!,#REF!,#REF!,#REF!),2)+$C20/2&gt;H20)),($F$5/$C$4),0))))</f>
        <v/>
      </c>
      <c r="J20" s="219"/>
      <c r="K20" s="220"/>
      <c r="L20" s="219"/>
      <c r="M20" s="220"/>
      <c r="N20" s="219"/>
      <c r="O20" s="70"/>
    </row>
    <row r="21" spans="1:15" s="32" customFormat="1" ht="36.75" hidden="1" customHeight="1">
      <c r="A21" s="214">
        <v>8</v>
      </c>
      <c r="B21" s="221"/>
      <c r="C21" s="215" t="str">
        <f>IF(B21="","",IF($L$4="Media aritmética",ROUND(AVERAGE(D21,F21,H21,J21,L21,N21,#REF!,#REF!,#REF!,#REF!,#REF!,#REF!,#REF!,#REF!,#REF!),2),ROUND(_xlfn.STDEV.P(D21,F21,H21,J21,L21,N21,#REF!,#REF!,#REF!,#REF!,#REF!,#REF!,#REF!,#REF!,#REF!),2)))</f>
        <v/>
      </c>
      <c r="D21" s="216" t="str">
        <f t="shared" si="0"/>
        <v/>
      </c>
      <c r="E21" s="222" t="str">
        <f>IF($B21="","",IF(D21="","",IF($L$4="Media aritmética",(D21&lt;=$C21)*($F$5/$C$4)+(D21&gt;$C21)*0,IF(AND(ROUND(AVERAGE($D21,$F21,$H21,$J21,$L21,$N21,#REF!,#REF!,#REF!,#REF!,#REF!,#REF!,#REF!,#REF!,#REF!),2)-$C21/2&lt;=D21,(ROUND(AVERAGE($D21,$F21,$H21,$J21,$L21,$N21,#REF!,#REF!,#REF!,#REF!,#REF!,#REF!,#REF!,#REF!,#REF!),2)+$C21/2&gt;D21)),($F$5/$C$4),0))))</f>
        <v/>
      </c>
      <c r="F21" s="223" t="str">
        <f t="shared" si="1"/>
        <v/>
      </c>
      <c r="G21" s="222" t="str">
        <f>IF($B21="","",IF(F21="","",IF($L$4="Media aritmética",(F21&lt;=$C21)*($F$5/$C$4)+(F21&gt;$C21)*0,IF(AND(ROUND(AVERAGE($D21,$F21,$H21,$J21,$L21,$N21,#REF!,#REF!,#REF!,#REF!,#REF!,#REF!,#REF!,#REF!,#REF!),2)-$C21/2&lt;=F21,(ROUND(AVERAGE($D21,$F21,$H21,$J21,$L21,$N21,#REF!,#REF!,#REF!,#REF!,#REF!,#REF!,#REF!,#REF!,#REF!),2)+$C21/2&gt;F21)),($F$5/$C$4),0))))</f>
        <v/>
      </c>
      <c r="H21" s="223" t="str">
        <f t="shared" si="2"/>
        <v/>
      </c>
      <c r="I21" s="224" t="str">
        <f>IF($B21="","",IF(H21="","",IF($L$4="Media aritmética",(H21&lt;=$C21)*($F$5/$C$4)+(H21&gt;$C21)*0,IF(AND(ROUND(AVERAGE($D21,$F21,$H21,$J21,$L21,$N21,#REF!,#REF!,#REF!,#REF!,#REF!,#REF!,#REF!,#REF!,#REF!),2)-$C21/2&lt;=H21,(ROUND(AVERAGE($D21,$F21,$H21,$J21,$L21,$N21,#REF!,#REF!,#REF!,#REF!,#REF!,#REF!,#REF!,#REF!,#REF!),2)+$C21/2&gt;H21)),($F$5/$C$4),0))))</f>
        <v/>
      </c>
      <c r="J21" s="219"/>
      <c r="K21" s="220"/>
      <c r="L21" s="219"/>
      <c r="M21" s="220"/>
      <c r="N21" s="219"/>
      <c r="O21" s="70"/>
    </row>
    <row r="22" spans="1:15" s="32" customFormat="1" ht="43.5" hidden="1" customHeight="1">
      <c r="A22" s="214">
        <v>9</v>
      </c>
      <c r="B22" s="221"/>
      <c r="C22" s="215" t="str">
        <f>IF(B22="","",IF($L$4="Media aritmética",ROUND(AVERAGE(D22,F22,H22,J22,L22,N22,#REF!,#REF!,#REF!,#REF!,#REF!,#REF!,#REF!,#REF!,#REF!),2),ROUND(_xlfn.STDEV.P(D22,F22,H22,J22,L22,N22,#REF!,#REF!,#REF!,#REF!,#REF!,#REF!,#REF!,#REF!,#REF!),2)))</f>
        <v/>
      </c>
      <c r="D22" s="216" t="str">
        <f t="shared" si="0"/>
        <v/>
      </c>
      <c r="E22" s="222" t="str">
        <f>IF($B22="","",IF(D22="","",IF($L$4="Media aritmética",(D22&lt;=$C22)*($F$5/$C$4)+(D22&gt;$C22)*0,IF(AND(ROUND(AVERAGE($D22,$F22,$H22,$J22,$L22,$N22,#REF!,#REF!,#REF!,#REF!,#REF!,#REF!,#REF!,#REF!,#REF!),2)-$C22/2&lt;=D22,(ROUND(AVERAGE($D22,$F22,$H22,$J22,$L22,$N22,#REF!,#REF!,#REF!,#REF!,#REF!,#REF!,#REF!,#REF!,#REF!),2)+$C22/2&gt;D22)),($F$5/$C$4),0))))</f>
        <v/>
      </c>
      <c r="F22" s="223" t="str">
        <f t="shared" si="1"/>
        <v/>
      </c>
      <c r="G22" s="222" t="str">
        <f>IF($B22="","",IF(F22="","",IF($L$4="Media aritmética",(F22&lt;=$C22)*($F$5/$C$4)+(F22&gt;$C22)*0,IF(AND(ROUND(AVERAGE($D22,$F22,$H22,$J22,$L22,$N22,#REF!,#REF!,#REF!,#REF!,#REF!,#REF!,#REF!,#REF!,#REF!),2)-$C22/2&lt;=F22,(ROUND(AVERAGE($D22,$F22,$H22,$J22,$L22,$N22,#REF!,#REF!,#REF!,#REF!,#REF!,#REF!,#REF!,#REF!,#REF!),2)+$C22/2&gt;F22)),($F$5/$C$4),0))))</f>
        <v/>
      </c>
      <c r="H22" s="223" t="str">
        <f t="shared" si="2"/>
        <v/>
      </c>
      <c r="I22" s="224" t="str">
        <f>IF($B22="","",IF(H22="","",IF($L$4="Media aritmética",(H22&lt;=$C22)*($F$5/$C$4)+(H22&gt;$C22)*0,IF(AND(ROUND(AVERAGE($D22,$F22,$H22,$J22,$L22,$N22,#REF!,#REF!,#REF!,#REF!,#REF!,#REF!,#REF!,#REF!,#REF!),2)-$C22/2&lt;=H22,(ROUND(AVERAGE($D22,$F22,$H22,$J22,$L22,$N22,#REF!,#REF!,#REF!,#REF!,#REF!,#REF!,#REF!,#REF!,#REF!),2)+$C22/2&gt;H22)),($F$5/$C$4),0))))</f>
        <v/>
      </c>
      <c r="J22" s="219"/>
      <c r="K22" s="220"/>
      <c r="L22" s="219"/>
      <c r="M22" s="220"/>
      <c r="N22" s="219"/>
      <c r="O22" s="70"/>
    </row>
    <row r="23" spans="1:15" s="32" customFormat="1" ht="54" hidden="1" customHeight="1">
      <c r="A23" s="214">
        <v>10</v>
      </c>
      <c r="B23" s="221"/>
      <c r="C23" s="215" t="str">
        <f>IF(B23="","",IF($L$4="Media aritmética",ROUND(AVERAGE(D23,F23,H23,J23,L23,N23,#REF!,#REF!,#REF!,#REF!,#REF!,#REF!,#REF!,#REF!,#REF!),2),ROUND(_xlfn.STDEV.P(D23,F23,H23,J23,L23,N23,#REF!,#REF!,#REF!,#REF!,#REF!,#REF!,#REF!,#REF!,#REF!),2)))</f>
        <v/>
      </c>
      <c r="D23" s="216" t="str">
        <f t="shared" si="0"/>
        <v/>
      </c>
      <c r="E23" s="222" t="str">
        <f>IF($B23="","",IF(D23="","",IF($L$4="Media aritmética",(D23&lt;=$C23)*($F$5/$C$4)+(D23&gt;$C23)*0,IF(AND(ROUND(AVERAGE($D23,$F23,$H23,$J23,$L23,$N23,#REF!,#REF!,#REF!,#REF!,#REF!,#REF!,#REF!,#REF!,#REF!),2)-$C23/2&lt;=D23,(ROUND(AVERAGE($D23,$F23,$H23,$J23,$L23,$N23,#REF!,#REF!,#REF!,#REF!,#REF!,#REF!,#REF!,#REF!,#REF!),2)+$C23/2&gt;D23)),($F$5/$C$4),0))))</f>
        <v/>
      </c>
      <c r="F23" s="223" t="str">
        <f t="shared" si="1"/>
        <v/>
      </c>
      <c r="G23" s="222" t="str">
        <f>IF($B23="","",IF(F23="","",IF($L$4="Media aritmética",(F23&lt;=$C23)*($F$5/$C$4)+(F23&gt;$C23)*0,IF(AND(ROUND(AVERAGE($D23,$F23,$H23,$J23,$L23,$N23,#REF!,#REF!,#REF!,#REF!,#REF!,#REF!,#REF!,#REF!,#REF!),2)-$C23/2&lt;=F23,(ROUND(AVERAGE($D23,$F23,$H23,$J23,$L23,$N23,#REF!,#REF!,#REF!,#REF!,#REF!,#REF!,#REF!,#REF!,#REF!),2)+$C23/2&gt;F23)),($F$5/$C$4),0))))</f>
        <v/>
      </c>
      <c r="H23" s="223" t="str">
        <f t="shared" si="2"/>
        <v/>
      </c>
      <c r="I23" s="224" t="str">
        <f>IF($B23="","",IF(H23="","",IF($L$4="Media aritmética",(H23&lt;=$C23)*($F$5/$C$4)+(H23&gt;$C23)*0,IF(AND(ROUND(AVERAGE($D23,$F23,$H23,$J23,$L23,$N23,#REF!,#REF!,#REF!,#REF!,#REF!,#REF!,#REF!,#REF!,#REF!),2)-$C23/2&lt;=H23,(ROUND(AVERAGE($D23,$F23,$H23,$J23,$L23,$N23,#REF!,#REF!,#REF!,#REF!,#REF!,#REF!,#REF!,#REF!,#REF!),2)+$C23/2&gt;H23)),($F$5/$C$4),0))))</f>
        <v/>
      </c>
      <c r="J23" s="219"/>
      <c r="K23" s="220"/>
      <c r="L23" s="219"/>
      <c r="M23" s="220"/>
      <c r="N23" s="219"/>
      <c r="O23" s="70"/>
    </row>
    <row r="24" spans="1:15" s="32" customFormat="1" ht="21" hidden="1" customHeight="1">
      <c r="A24" s="214">
        <v>11</v>
      </c>
      <c r="B24" s="221"/>
      <c r="C24" s="215" t="str">
        <f>IF(B24="","",IF($L$4="Media aritmética",ROUND(AVERAGE(D24,F24,H24,J24,L24,N24,#REF!,#REF!,#REF!,#REF!,#REF!,#REF!,#REF!,#REF!,#REF!),2),ROUND(_xlfn.STDEV.P(D24,F24,H24,J24,L24,N24,#REF!,#REF!,#REF!,#REF!,#REF!,#REF!,#REF!,#REF!,#REF!),2)))</f>
        <v/>
      </c>
      <c r="D24" s="216" t="str">
        <f t="shared" si="0"/>
        <v/>
      </c>
      <c r="E24" s="222" t="str">
        <f>IF($B24="","",IF(D24="","",IF($L$4="Media aritmética",(D24&lt;=$C24)*($F$5/$C$4)+(D24&gt;$C24)*0,IF(AND(ROUND(AVERAGE($D24,$F24,$H24,$J24,$L24,$N24,#REF!,#REF!,#REF!,#REF!,#REF!,#REF!,#REF!,#REF!,#REF!),2)-$C24/2&lt;=D24,(ROUND(AVERAGE($D24,$F24,$H24,$J24,$L24,$N24,#REF!,#REF!,#REF!,#REF!,#REF!,#REF!,#REF!,#REF!,#REF!),2)+$C24/2&gt;D24)),($F$5/$C$4),0))))</f>
        <v/>
      </c>
      <c r="F24" s="223" t="str">
        <f t="shared" si="1"/>
        <v/>
      </c>
      <c r="G24" s="222" t="str">
        <f>IF($B24="","",IF(F24="","",IF($L$4="Media aritmética",(F24&lt;=$C24)*($F$5/$C$4)+(F24&gt;$C24)*0,IF(AND(ROUND(AVERAGE($D24,$F24,$H24,$J24,$L24,$N24,#REF!,#REF!,#REF!,#REF!,#REF!,#REF!,#REF!,#REF!,#REF!),2)-$C24/2&lt;=F24,(ROUND(AVERAGE($D24,$F24,$H24,$J24,$L24,$N24,#REF!,#REF!,#REF!,#REF!,#REF!,#REF!,#REF!,#REF!,#REF!),2)+$C24/2&gt;F24)),($F$5/$C$4),0))))</f>
        <v/>
      </c>
      <c r="H24" s="223" t="str">
        <f t="shared" si="2"/>
        <v/>
      </c>
      <c r="I24" s="224" t="str">
        <f>IF($B24="","",IF(H24="","",IF($L$4="Media aritmética",(H24&lt;=$C24)*($F$5/$C$4)+(H24&gt;$C24)*0,IF(AND(ROUND(AVERAGE($D24,$F24,$H24,$J24,$L24,$N24,#REF!,#REF!,#REF!,#REF!,#REF!,#REF!,#REF!,#REF!,#REF!),2)-$C24/2&lt;=H24,(ROUND(AVERAGE($D24,$F24,$H24,$J24,$L24,$N24,#REF!,#REF!,#REF!,#REF!,#REF!,#REF!,#REF!,#REF!,#REF!),2)+$C24/2&gt;H24)),($F$5/$C$4),0))))</f>
        <v/>
      </c>
      <c r="J24" s="219"/>
      <c r="K24" s="220"/>
      <c r="L24" s="219"/>
      <c r="M24" s="220"/>
      <c r="N24" s="219"/>
      <c r="O24" s="70"/>
    </row>
    <row r="25" spans="1:15" s="32" customFormat="1" ht="21" hidden="1" customHeight="1">
      <c r="A25" s="214">
        <v>12</v>
      </c>
      <c r="B25" s="221"/>
      <c r="C25" s="215" t="str">
        <f>IF(B25="","",IF($L$4="Media aritmética",ROUND(AVERAGE(D25,F25,H25,J25,L25,N25,#REF!,#REF!,#REF!,#REF!,#REF!,#REF!,#REF!,#REF!,#REF!),2),ROUND(_xlfn.STDEV.P(D25,F25,H25,J25,L25,N25,#REF!,#REF!,#REF!,#REF!,#REF!,#REF!,#REF!,#REF!,#REF!),2)))</f>
        <v/>
      </c>
      <c r="D25" s="216" t="str">
        <f t="shared" si="0"/>
        <v/>
      </c>
      <c r="E25" s="222" t="str">
        <f>IF($B25="","",IF(D25="","",IF($L$4="Media aritmética",(D25&lt;=$C25)*($F$5/$C$4)+(D25&gt;$C25)*0,IF(AND(ROUND(AVERAGE($D25,$F25,$H25,$J25,$L25,$N25,#REF!,#REF!,#REF!,#REF!,#REF!,#REF!,#REF!,#REF!,#REF!),2)-$C25/2&lt;=D25,(ROUND(AVERAGE($D25,$F25,$H25,$J25,$L25,$N25,#REF!,#REF!,#REF!,#REF!,#REF!,#REF!,#REF!,#REF!,#REF!),2)+$C25/2&gt;D25)),($F$5/$C$4),0))))</f>
        <v/>
      </c>
      <c r="F25" s="223" t="str">
        <f t="shared" si="1"/>
        <v/>
      </c>
      <c r="G25" s="222" t="str">
        <f>IF($B25="","",IF(F25="","",IF($L$4="Media aritmética",(F25&lt;=$C25)*($F$5/$C$4)+(F25&gt;$C25)*0,IF(AND(ROUND(AVERAGE($D25,$F25,$H25,$J25,$L25,$N25,#REF!,#REF!,#REF!,#REF!,#REF!,#REF!,#REF!,#REF!,#REF!),2)-$C25/2&lt;=F25,(ROUND(AVERAGE($D25,$F25,$H25,$J25,$L25,$N25,#REF!,#REF!,#REF!,#REF!,#REF!,#REF!,#REF!,#REF!,#REF!),2)+$C25/2&gt;F25)),($F$5/$C$4),0))))</f>
        <v/>
      </c>
      <c r="H25" s="223" t="str">
        <f t="shared" si="2"/>
        <v/>
      </c>
      <c r="I25" s="224" t="str">
        <f>IF($B25="","",IF(H25="","",IF($L$4="Media aritmética",(H25&lt;=$C25)*($F$5/$C$4)+(H25&gt;$C25)*0,IF(AND(ROUND(AVERAGE($D25,$F25,$H25,$J25,$L25,$N25,#REF!,#REF!,#REF!,#REF!,#REF!,#REF!,#REF!,#REF!,#REF!),2)-$C25/2&lt;=H25,(ROUND(AVERAGE($D25,$F25,$H25,$J25,$L25,$N25,#REF!,#REF!,#REF!,#REF!,#REF!,#REF!,#REF!,#REF!,#REF!),2)+$C25/2&gt;H25)),($F$5/$C$4),0))))</f>
        <v/>
      </c>
      <c r="J25" s="219"/>
      <c r="K25" s="220"/>
      <c r="L25" s="219"/>
      <c r="M25" s="220"/>
      <c r="N25" s="219"/>
      <c r="O25" s="70"/>
    </row>
    <row r="26" spans="1:15" s="32" customFormat="1" ht="21" hidden="1" customHeight="1">
      <c r="A26" s="214">
        <v>13</v>
      </c>
      <c r="B26" s="221"/>
      <c r="C26" s="215" t="str">
        <f>IF(B26="","",IF($L$4="Media aritmética",ROUND(AVERAGE(D26,F26,H26,J26,L26,N26,#REF!,#REF!,#REF!,#REF!,#REF!,#REF!,#REF!,#REF!,#REF!),2),ROUND(_xlfn.STDEV.P(D26,F26,H26,J26,L26,N26,#REF!,#REF!,#REF!,#REF!,#REF!,#REF!,#REF!,#REF!,#REF!),2)))</f>
        <v/>
      </c>
      <c r="D26" s="216" t="str">
        <f t="shared" si="0"/>
        <v/>
      </c>
      <c r="E26" s="222" t="str">
        <f>IF($B26="","",IF(D26="","",IF($L$4="Media aritmética",(D26&lt;=$C26)*($F$5/$C$4)+(D26&gt;$C26)*0,IF(AND(ROUND(AVERAGE($D26,$F26,$H26,$J26,$L26,$N26,#REF!,#REF!,#REF!,#REF!,#REF!,#REF!,#REF!,#REF!,#REF!),2)-$C26/2&lt;=D26,(ROUND(AVERAGE($D26,$F26,$H26,$J26,$L26,$N26,#REF!,#REF!,#REF!,#REF!,#REF!,#REF!,#REF!,#REF!,#REF!),2)+$C26/2&gt;D26)),($F$5/$C$4),0))))</f>
        <v/>
      </c>
      <c r="F26" s="223" t="str">
        <f t="shared" si="1"/>
        <v/>
      </c>
      <c r="G26" s="222" t="str">
        <f>IF($B26="","",IF(F26="","",IF($L$4="Media aritmética",(F26&lt;=$C26)*($F$5/$C$4)+(F26&gt;$C26)*0,IF(AND(ROUND(AVERAGE($D26,$F26,$H26,$J26,$L26,$N26,#REF!,#REF!,#REF!,#REF!,#REF!,#REF!,#REF!,#REF!,#REF!),2)-$C26/2&lt;=F26,(ROUND(AVERAGE($D26,$F26,$H26,$J26,$L26,$N26,#REF!,#REF!,#REF!,#REF!,#REF!,#REF!,#REF!,#REF!,#REF!),2)+$C26/2&gt;F26)),($F$5/$C$4),0))))</f>
        <v/>
      </c>
      <c r="H26" s="223" t="str">
        <f t="shared" si="2"/>
        <v/>
      </c>
      <c r="I26" s="224" t="str">
        <f>IF($B26="","",IF(H26="","",IF($L$4="Media aritmética",(H26&lt;=$C26)*($F$5/$C$4)+(H26&gt;$C26)*0,IF(AND(ROUND(AVERAGE($D26,$F26,$H26,$J26,$L26,$N26,#REF!,#REF!,#REF!,#REF!,#REF!,#REF!,#REF!,#REF!,#REF!),2)-$C26/2&lt;=H26,(ROUND(AVERAGE($D26,$F26,$H26,$J26,$L26,$N26,#REF!,#REF!,#REF!,#REF!,#REF!,#REF!,#REF!,#REF!,#REF!),2)+$C26/2&gt;H26)),($F$5/$C$4),0))))</f>
        <v/>
      </c>
      <c r="J26" s="219"/>
      <c r="K26" s="220"/>
      <c r="L26" s="219"/>
      <c r="M26" s="220"/>
      <c r="N26" s="219"/>
      <c r="O26" s="70"/>
    </row>
    <row r="27" spans="1:15" s="32" customFormat="1" ht="21" hidden="1" customHeight="1">
      <c r="A27" s="214">
        <v>14</v>
      </c>
      <c r="B27" s="221"/>
      <c r="C27" s="215" t="str">
        <f>IF(B27="","",IF($L$4="Media aritmética",ROUND(AVERAGE(D27,F27,H27,J27,L27,N27,#REF!,#REF!,#REF!,#REF!,#REF!,#REF!,#REF!,#REF!,#REF!),2),ROUND(_xlfn.STDEV.P(D27,F27,H27,J27,L27,N27,#REF!,#REF!,#REF!,#REF!,#REF!,#REF!,#REF!,#REF!,#REF!),2)))</f>
        <v/>
      </c>
      <c r="D27" s="216" t="str">
        <f t="shared" si="0"/>
        <v/>
      </c>
      <c r="E27" s="222" t="str">
        <f>IF($B27="","",IF(D27="","",IF($L$4="Media aritmética",(D27&lt;=$C27)*($F$5/$C$4)+(D27&gt;$C27)*0,IF(AND(ROUND(AVERAGE($D27,$F27,$H27,$J27,$L27,$N27,#REF!,#REF!,#REF!,#REF!,#REF!,#REF!,#REF!,#REF!,#REF!),2)-$C27/2&lt;=D27,(ROUND(AVERAGE($D27,$F27,$H27,$J27,$L27,$N27,#REF!,#REF!,#REF!,#REF!,#REF!,#REF!,#REF!,#REF!,#REF!),2)+$C27/2&gt;D27)),($F$5/$C$4),0))))</f>
        <v/>
      </c>
      <c r="F27" s="223" t="str">
        <f t="shared" si="1"/>
        <v/>
      </c>
      <c r="G27" s="222" t="str">
        <f>IF($B27="","",IF(F27="","",IF($L$4="Media aritmética",(F27&lt;=$C27)*($F$5/$C$4)+(F27&gt;$C27)*0,IF(AND(ROUND(AVERAGE($D27,$F27,$H27,$J27,$L27,$N27,#REF!,#REF!,#REF!,#REF!,#REF!,#REF!,#REF!,#REF!,#REF!),2)-$C27/2&lt;=F27,(ROUND(AVERAGE($D27,$F27,$H27,$J27,$L27,$N27,#REF!,#REF!,#REF!,#REF!,#REF!,#REF!,#REF!,#REF!,#REF!),2)+$C27/2&gt;F27)),($F$5/$C$4),0))))</f>
        <v/>
      </c>
      <c r="H27" s="223" t="str">
        <f t="shared" si="2"/>
        <v/>
      </c>
      <c r="I27" s="224" t="str">
        <f>IF($B27="","",IF(H27="","",IF($L$4="Media aritmética",(H27&lt;=$C27)*($F$5/$C$4)+(H27&gt;$C27)*0,IF(AND(ROUND(AVERAGE($D27,$F27,$H27,$J27,$L27,$N27,#REF!,#REF!,#REF!,#REF!,#REF!,#REF!,#REF!,#REF!,#REF!),2)-$C27/2&lt;=H27,(ROUND(AVERAGE($D27,$F27,$H27,$J27,$L27,$N27,#REF!,#REF!,#REF!,#REF!,#REF!,#REF!,#REF!,#REF!,#REF!),2)+$C27/2&gt;H27)),($F$5/$C$4),0))))</f>
        <v/>
      </c>
      <c r="J27" s="219"/>
      <c r="K27" s="220"/>
      <c r="L27" s="219"/>
      <c r="M27" s="220"/>
      <c r="N27" s="219"/>
      <c r="O27" s="70"/>
    </row>
    <row r="28" spans="1:15" s="32" customFormat="1" ht="21" hidden="1" customHeight="1">
      <c r="A28" s="214">
        <v>15</v>
      </c>
      <c r="B28" s="221"/>
      <c r="C28" s="215" t="str">
        <f>IF(B28="","",IF($L$4="Media aritmética",ROUND(AVERAGE(D28,F28,H28,J28,L28,N28,#REF!,#REF!,#REF!,#REF!,#REF!,#REF!,#REF!,#REF!,#REF!),2),ROUND(_xlfn.STDEV.P(D28,F28,H28,J28,L28,N28,#REF!,#REF!,#REF!,#REF!,#REF!,#REF!,#REF!,#REF!,#REF!),2)))</f>
        <v/>
      </c>
      <c r="D28" s="216" t="str">
        <f t="shared" si="0"/>
        <v/>
      </c>
      <c r="E28" s="222" t="str">
        <f>IF($B28="","",IF(D28="","",IF($L$4="Media aritmética",(D28&lt;=$C28)*($F$5/$C$4)+(D28&gt;$C28)*0,IF(AND(ROUND(AVERAGE($D28,$F28,$H28,$J28,$L28,$N28,#REF!,#REF!,#REF!,#REF!,#REF!,#REF!,#REF!,#REF!,#REF!),2)-$C28/2&lt;=D28,(ROUND(AVERAGE($D28,$F28,$H28,$J28,$L28,$N28,#REF!,#REF!,#REF!,#REF!,#REF!,#REF!,#REF!,#REF!,#REF!),2)+$C28/2&gt;D28)),($F$5/$C$4),0))))</f>
        <v/>
      </c>
      <c r="F28" s="223" t="str">
        <f t="shared" si="1"/>
        <v/>
      </c>
      <c r="G28" s="222" t="str">
        <f>IF($B28="","",IF(F28="","",IF($L$4="Media aritmética",(F28&lt;=$C28)*($F$5/$C$4)+(F28&gt;$C28)*0,IF(AND(ROUND(AVERAGE($D28,$F28,$H28,$J28,$L28,$N28,#REF!,#REF!,#REF!,#REF!,#REF!,#REF!,#REF!,#REF!,#REF!),2)-$C28/2&lt;=F28,(ROUND(AVERAGE($D28,$F28,$H28,$J28,$L28,$N28,#REF!,#REF!,#REF!,#REF!,#REF!,#REF!,#REF!,#REF!,#REF!),2)+$C28/2&gt;F28)),($F$5/$C$4),0))))</f>
        <v/>
      </c>
      <c r="H28" s="223" t="str">
        <f t="shared" si="2"/>
        <v/>
      </c>
      <c r="I28" s="224" t="str">
        <f>IF($B28="","",IF(H28="","",IF($L$4="Media aritmética",(H28&lt;=$C28)*($F$5/$C$4)+(H28&gt;$C28)*0,IF(AND(ROUND(AVERAGE($D28,$F28,$H28,$J28,$L28,$N28,#REF!,#REF!,#REF!,#REF!,#REF!,#REF!,#REF!,#REF!,#REF!),2)-$C28/2&lt;=H28,(ROUND(AVERAGE($D28,$F28,$H28,$J28,$L28,$N28,#REF!,#REF!,#REF!,#REF!,#REF!,#REF!,#REF!,#REF!,#REF!),2)+$C28/2&gt;H28)),($F$5/$C$4),0))))</f>
        <v/>
      </c>
      <c r="J28" s="219"/>
      <c r="K28" s="220"/>
      <c r="L28" s="219"/>
      <c r="M28" s="220"/>
      <c r="N28" s="219"/>
      <c r="O28" s="70"/>
    </row>
    <row r="29" spans="1:15" s="32" customFormat="1" ht="21" hidden="1" customHeight="1">
      <c r="A29" s="214">
        <v>16</v>
      </c>
      <c r="B29" s="221"/>
      <c r="C29" s="215" t="str">
        <f>IF(B29="","",IF($L$4="Media aritmética",ROUND(AVERAGE(D29,F29,H29,J29,L29,N29,#REF!,#REF!,#REF!,#REF!,#REF!,#REF!,#REF!,#REF!,#REF!),2),ROUND(_xlfn.STDEV.P(D29,F29,H29,J29,L29,N29,#REF!,#REF!,#REF!,#REF!,#REF!,#REF!,#REF!,#REF!,#REF!),2)))</f>
        <v/>
      </c>
      <c r="D29" s="216" t="str">
        <f t="shared" si="0"/>
        <v/>
      </c>
      <c r="E29" s="222" t="str">
        <f>IF($B29="","",IF(D29="","",IF($L$4="Media aritmética",(D29&lt;=$C29)*($F$5/$C$4)+(D29&gt;$C29)*0,IF(AND(ROUND(AVERAGE($D29,$F29,$H29,$J29,$L29,$N29,#REF!,#REF!,#REF!,#REF!,#REF!,#REF!,#REF!,#REF!,#REF!),2)-$C29/2&lt;=D29,(ROUND(AVERAGE($D29,$F29,$H29,$J29,$L29,$N29,#REF!,#REF!,#REF!,#REF!,#REF!,#REF!,#REF!,#REF!,#REF!),2)+$C29/2&gt;D29)),($F$5/$C$4),0))))</f>
        <v/>
      </c>
      <c r="F29" s="223" t="str">
        <f t="shared" si="1"/>
        <v/>
      </c>
      <c r="G29" s="222" t="str">
        <f>IF($B29="","",IF(F29="","",IF($L$4="Media aritmética",(F29&lt;=$C29)*($F$5/$C$4)+(F29&gt;$C29)*0,IF(AND(ROUND(AVERAGE($D29,$F29,$H29,$J29,$L29,$N29,#REF!,#REF!,#REF!,#REF!,#REF!,#REF!,#REF!,#REF!,#REF!),2)-$C29/2&lt;=F29,(ROUND(AVERAGE($D29,$F29,$H29,$J29,$L29,$N29,#REF!,#REF!,#REF!,#REF!,#REF!,#REF!,#REF!,#REF!,#REF!),2)+$C29/2&gt;F29)),($F$5/$C$4),0))))</f>
        <v/>
      </c>
      <c r="H29" s="223" t="str">
        <f t="shared" si="2"/>
        <v/>
      </c>
      <c r="I29" s="224" t="str">
        <f>IF($B29="","",IF(H29="","",IF($L$4="Media aritmética",(H29&lt;=$C29)*($F$5/$C$4)+(H29&gt;$C29)*0,IF(AND(ROUND(AVERAGE($D29,$F29,$H29,$J29,$L29,$N29,#REF!,#REF!,#REF!,#REF!,#REF!,#REF!,#REF!,#REF!,#REF!),2)-$C29/2&lt;=H29,(ROUND(AVERAGE($D29,$F29,$H29,$J29,$L29,$N29,#REF!,#REF!,#REF!,#REF!,#REF!,#REF!,#REF!,#REF!,#REF!),2)+$C29/2&gt;H29)),($F$5/$C$4),0))))</f>
        <v/>
      </c>
      <c r="J29" s="219"/>
      <c r="K29" s="220"/>
      <c r="L29" s="219"/>
      <c r="M29" s="220"/>
      <c r="N29" s="219"/>
      <c r="O29" s="70"/>
    </row>
    <row r="30" spans="1:15" s="32" customFormat="1" ht="21" hidden="1" customHeight="1">
      <c r="A30" s="214">
        <v>17</v>
      </c>
      <c r="B30" s="221"/>
      <c r="C30" s="215" t="str">
        <f>IF(B30="","",IF($L$4="Media aritmética",ROUND(AVERAGE(D30,F30,H30,J30,L30,N30,#REF!,#REF!,#REF!,#REF!,#REF!,#REF!,#REF!,#REF!,#REF!),2),ROUND(_xlfn.STDEV.P(D30,F30,H30,J30,L30,N30,#REF!,#REF!,#REF!,#REF!,#REF!,#REF!,#REF!,#REF!,#REF!),2)))</f>
        <v/>
      </c>
      <c r="D30" s="216" t="str">
        <f t="shared" si="0"/>
        <v/>
      </c>
      <c r="E30" s="222" t="str">
        <f>IF($B30="","",IF(D30="","",IF($L$4="Media aritmética",(D30&lt;=$C30)*($F$5/$C$4)+(D30&gt;$C30)*0,IF(AND(ROUND(AVERAGE($D30,$F30,$H30,$J30,$L30,$N30,#REF!,#REF!,#REF!,#REF!,#REF!,#REF!,#REF!,#REF!,#REF!),2)-$C30/2&lt;=D30,(ROUND(AVERAGE($D30,$F30,$H30,$J30,$L30,$N30,#REF!,#REF!,#REF!,#REF!,#REF!,#REF!,#REF!,#REF!,#REF!),2)+$C30/2&gt;D30)),($F$5/$C$4),0))))</f>
        <v/>
      </c>
      <c r="F30" s="223" t="str">
        <f t="shared" si="1"/>
        <v/>
      </c>
      <c r="G30" s="222" t="str">
        <f>IF($B30="","",IF(F30="","",IF($L$4="Media aritmética",(F30&lt;=$C30)*($F$5/$C$4)+(F30&gt;$C30)*0,IF(AND(ROUND(AVERAGE($D30,$F30,$H30,$J30,$L30,$N30,#REF!,#REF!,#REF!,#REF!,#REF!,#REF!,#REF!,#REF!,#REF!),2)-$C30/2&lt;=F30,(ROUND(AVERAGE($D30,$F30,$H30,$J30,$L30,$N30,#REF!,#REF!,#REF!,#REF!,#REF!,#REF!,#REF!,#REF!,#REF!),2)+$C30/2&gt;F30)),($F$5/$C$4),0))))</f>
        <v/>
      </c>
      <c r="H30" s="223" t="str">
        <f t="shared" si="2"/>
        <v/>
      </c>
      <c r="I30" s="224" t="str">
        <f>IF($B30="","",IF(H30="","",IF($L$4="Media aritmética",(H30&lt;=$C30)*($F$5/$C$4)+(H30&gt;$C30)*0,IF(AND(ROUND(AVERAGE($D30,$F30,$H30,$J30,$L30,$N30,#REF!,#REF!,#REF!,#REF!,#REF!,#REF!,#REF!,#REF!,#REF!),2)-$C30/2&lt;=H30,(ROUND(AVERAGE($D30,$F30,$H30,$J30,$L30,$N30,#REF!,#REF!,#REF!,#REF!,#REF!,#REF!,#REF!,#REF!,#REF!),2)+$C30/2&gt;H30)),($F$5/$C$4),0))))</f>
        <v/>
      </c>
      <c r="J30" s="219"/>
      <c r="K30" s="220"/>
      <c r="L30" s="219"/>
      <c r="M30" s="220"/>
      <c r="N30" s="219"/>
      <c r="O30" s="70"/>
    </row>
    <row r="31" spans="1:15" s="32" customFormat="1" ht="21" hidden="1" customHeight="1">
      <c r="A31" s="214">
        <v>18</v>
      </c>
      <c r="B31" s="221"/>
      <c r="C31" s="215" t="str">
        <f>IF(B31="","",IF($L$4="Media aritmética",ROUND(AVERAGE(D31,F31,H31,J31,L31,N31,#REF!,#REF!,#REF!,#REF!,#REF!,#REF!,#REF!,#REF!,#REF!),2),ROUND(_xlfn.STDEV.P(D31,F31,H31,J31,L31,N31,#REF!,#REF!,#REF!,#REF!,#REF!,#REF!,#REF!,#REF!,#REF!),2)))</f>
        <v/>
      </c>
      <c r="D31" s="216" t="str">
        <f t="shared" si="0"/>
        <v/>
      </c>
      <c r="E31" s="222" t="str">
        <f>IF($B31="","",IF(D31="","",IF($L$4="Media aritmética",(D31&lt;=$C31)*($F$5/$C$4)+(D31&gt;$C31)*0,IF(AND(ROUND(AVERAGE($D31,$F31,$H31,$J31,$L31,$N31,#REF!,#REF!,#REF!,#REF!,#REF!,#REF!,#REF!,#REF!,#REF!),2)-$C31/2&lt;=D31,(ROUND(AVERAGE($D31,$F31,$H31,$J31,$L31,$N31,#REF!,#REF!,#REF!,#REF!,#REF!,#REF!,#REF!,#REF!,#REF!),2)+$C31/2&gt;D31)),($F$5/$C$4),0))))</f>
        <v/>
      </c>
      <c r="F31" s="223" t="str">
        <f t="shared" si="1"/>
        <v/>
      </c>
      <c r="G31" s="222" t="str">
        <f>IF($B31="","",IF(F31="","",IF($L$4="Media aritmética",(F31&lt;=$C31)*($F$5/$C$4)+(F31&gt;$C31)*0,IF(AND(ROUND(AVERAGE($D31,$F31,$H31,$J31,$L31,$N31,#REF!,#REF!,#REF!,#REF!,#REF!,#REF!,#REF!,#REF!,#REF!),2)-$C31/2&lt;=F31,(ROUND(AVERAGE($D31,$F31,$H31,$J31,$L31,$N31,#REF!,#REF!,#REF!,#REF!,#REF!,#REF!,#REF!,#REF!,#REF!),2)+$C31/2&gt;F31)),($F$5/$C$4),0))))</f>
        <v/>
      </c>
      <c r="H31" s="223" t="str">
        <f t="shared" si="2"/>
        <v/>
      </c>
      <c r="I31" s="224" t="str">
        <f>IF($B31="","",IF(H31="","",IF($L$4="Media aritmética",(H31&lt;=$C31)*($F$5/$C$4)+(H31&gt;$C31)*0,IF(AND(ROUND(AVERAGE($D31,$F31,$H31,$J31,$L31,$N31,#REF!,#REF!,#REF!,#REF!,#REF!,#REF!,#REF!,#REF!,#REF!),2)-$C31/2&lt;=H31,(ROUND(AVERAGE($D31,$F31,$H31,$J31,$L31,$N31,#REF!,#REF!,#REF!,#REF!,#REF!,#REF!,#REF!,#REF!,#REF!),2)+$C31/2&gt;H31)),($F$5/$C$4),0))))</f>
        <v/>
      </c>
      <c r="J31" s="219"/>
      <c r="K31" s="220"/>
      <c r="L31" s="219"/>
      <c r="M31" s="220"/>
      <c r="N31" s="219"/>
      <c r="O31" s="70"/>
    </row>
    <row r="32" spans="1:15" s="32" customFormat="1" ht="21" hidden="1" customHeight="1">
      <c r="A32" s="214">
        <v>19</v>
      </c>
      <c r="B32" s="221"/>
      <c r="C32" s="215" t="str">
        <f>IF(B32="","",IF($L$4="Media aritmética",ROUND(AVERAGE(D32,F32,H32,J32,L32,N32,#REF!,#REF!,#REF!,#REF!,#REF!,#REF!,#REF!,#REF!,#REF!),2),ROUND(_xlfn.STDEV.P(D32,F32,H32,J32,L32,N32,#REF!,#REF!,#REF!,#REF!,#REF!,#REF!,#REF!,#REF!,#REF!),2)))</f>
        <v/>
      </c>
      <c r="D32" s="216" t="str">
        <f t="shared" si="0"/>
        <v/>
      </c>
      <c r="E32" s="222" t="str">
        <f>IF($B32="","",IF(D32="","",IF($L$4="Media aritmética",(D32&lt;=$C32)*($F$5/$C$4)+(D32&gt;$C32)*0,IF(AND(ROUND(AVERAGE($D32,$F32,$H32,$J32,$L32,$N32,#REF!,#REF!,#REF!,#REF!,#REF!,#REF!,#REF!,#REF!,#REF!),2)-$C32/2&lt;=D32,(ROUND(AVERAGE($D32,$F32,$H32,$J32,$L32,$N32,#REF!,#REF!,#REF!,#REF!,#REF!,#REF!,#REF!,#REF!,#REF!),2)+$C32/2&gt;D32)),($F$5/$C$4),0))))</f>
        <v/>
      </c>
      <c r="F32" s="223" t="str">
        <f t="shared" si="1"/>
        <v/>
      </c>
      <c r="G32" s="222" t="str">
        <f>IF($B32="","",IF(F32="","",IF($L$4="Media aritmética",(F32&lt;=$C32)*($F$5/$C$4)+(F32&gt;$C32)*0,IF(AND(ROUND(AVERAGE($D32,$F32,$H32,$J32,$L32,$N32,#REF!,#REF!,#REF!,#REF!,#REF!,#REF!,#REF!,#REF!,#REF!),2)-$C32/2&lt;=F32,(ROUND(AVERAGE($D32,$F32,$H32,$J32,$L32,$N32,#REF!,#REF!,#REF!,#REF!,#REF!,#REF!,#REF!,#REF!,#REF!),2)+$C32/2&gt;F32)),($F$5/$C$4),0))))</f>
        <v/>
      </c>
      <c r="H32" s="223" t="str">
        <f t="shared" si="2"/>
        <v/>
      </c>
      <c r="I32" s="224" t="str">
        <f>IF($B32="","",IF(H32="","",IF($L$4="Media aritmética",(H32&lt;=$C32)*($F$5/$C$4)+(H32&gt;$C32)*0,IF(AND(ROUND(AVERAGE($D32,$F32,$H32,$J32,$L32,$N32,#REF!,#REF!,#REF!,#REF!,#REF!,#REF!,#REF!,#REF!,#REF!),2)-$C32/2&lt;=H32,(ROUND(AVERAGE($D32,$F32,$H32,$J32,$L32,$N32,#REF!,#REF!,#REF!,#REF!,#REF!,#REF!,#REF!,#REF!,#REF!),2)+$C32/2&gt;H32)),($F$5/$C$4),0))))</f>
        <v/>
      </c>
      <c r="J32" s="219"/>
      <c r="K32" s="220"/>
      <c r="L32" s="219"/>
      <c r="M32" s="220"/>
      <c r="N32" s="219"/>
      <c r="O32" s="70"/>
    </row>
    <row r="33" spans="1:15" s="32" customFormat="1" ht="21" hidden="1" customHeight="1">
      <c r="A33" s="214">
        <v>20</v>
      </c>
      <c r="B33" s="221"/>
      <c r="C33" s="215" t="str">
        <f>IF(B33="","",IF($L$4="Media aritmética",ROUND(AVERAGE(D33,F33,H33,J33,L33,N33,#REF!,#REF!,#REF!,#REF!,#REF!,#REF!,#REF!,#REF!,#REF!),2),ROUND(_xlfn.STDEV.P(D33,F33,H33,J33,L33,N33,#REF!,#REF!,#REF!,#REF!,#REF!,#REF!,#REF!,#REF!,#REF!),2)))</f>
        <v/>
      </c>
      <c r="D33" s="216" t="str">
        <f t="shared" si="0"/>
        <v/>
      </c>
      <c r="E33" s="222" t="str">
        <f>IF($B33="","",IF(D33="","",IF($L$4="Media aritmética",(D33&lt;=$C33)*($F$5/$C$4)+(D33&gt;$C33)*0,IF(AND(ROUND(AVERAGE($D33,$F33,$H33,$J33,$L33,$N33,#REF!,#REF!,#REF!,#REF!,#REF!,#REF!,#REF!,#REF!,#REF!),2)-$C33/2&lt;=D33,(ROUND(AVERAGE($D33,$F33,$H33,$J33,$L33,$N33,#REF!,#REF!,#REF!,#REF!,#REF!,#REF!,#REF!,#REF!,#REF!),2)+$C33/2&gt;D33)),($F$5/$C$4),0))))</f>
        <v/>
      </c>
      <c r="F33" s="223" t="str">
        <f t="shared" si="1"/>
        <v/>
      </c>
      <c r="G33" s="222" t="str">
        <f>IF($B33="","",IF(F33="","",IF($L$4="Media aritmética",(F33&lt;=$C33)*($F$5/$C$4)+(F33&gt;$C33)*0,IF(AND(ROUND(AVERAGE($D33,$F33,$H33,$J33,$L33,$N33,#REF!,#REF!,#REF!,#REF!,#REF!,#REF!,#REF!,#REF!,#REF!),2)-$C33/2&lt;=F33,(ROUND(AVERAGE($D33,$F33,$H33,$J33,$L33,$N33,#REF!,#REF!,#REF!,#REF!,#REF!,#REF!,#REF!,#REF!,#REF!),2)+$C33/2&gt;F33)),($F$5/$C$4),0))))</f>
        <v/>
      </c>
      <c r="H33" s="223" t="str">
        <f t="shared" si="2"/>
        <v/>
      </c>
      <c r="I33" s="224" t="str">
        <f>IF($B33="","",IF(H33="","",IF($L$4="Media aritmética",(H33&lt;=$C33)*($F$5/$C$4)+(H33&gt;$C33)*0,IF(AND(ROUND(AVERAGE($D33,$F33,$H33,$J33,$L33,$N33,#REF!,#REF!,#REF!,#REF!,#REF!,#REF!,#REF!,#REF!,#REF!),2)-$C33/2&lt;=H33,(ROUND(AVERAGE($D33,$F33,$H33,$J33,$L33,$N33,#REF!,#REF!,#REF!,#REF!,#REF!,#REF!,#REF!,#REF!,#REF!),2)+$C33/2&gt;H33)),($F$5/$C$4),0))))</f>
        <v/>
      </c>
      <c r="J33" s="219"/>
      <c r="K33" s="220"/>
      <c r="L33" s="219"/>
      <c r="M33" s="220"/>
      <c r="N33" s="219"/>
      <c r="O33" s="70"/>
    </row>
    <row r="34" spans="1:15" s="32" customFormat="1" ht="21" hidden="1" customHeight="1">
      <c r="A34" s="214">
        <v>21</v>
      </c>
      <c r="B34" s="221"/>
      <c r="C34" s="215" t="str">
        <f>IF(B34="","",IF($L$4="Media aritmética",ROUND(AVERAGE(D34,F34,H34,J34,L34,N34,#REF!,#REF!,#REF!,#REF!,#REF!,#REF!,#REF!,#REF!,#REF!),2),ROUND(_xlfn.STDEV.P(D34,F34,H34,J34,L34,N34,#REF!,#REF!,#REF!,#REF!,#REF!,#REF!,#REF!,#REF!,#REF!),2)))</f>
        <v/>
      </c>
      <c r="D34" s="216" t="str">
        <f t="shared" si="0"/>
        <v/>
      </c>
      <c r="E34" s="222" t="str">
        <f>IF($B34="","",IF(D34="","",IF($L$4="Media aritmética",(D34&lt;=$C34)*($F$5/$C$4)+(D34&gt;$C34)*0,IF(AND(ROUND(AVERAGE($D34,$F34,$H34,$J34,$L34,$N34,#REF!,#REF!,#REF!,#REF!,#REF!,#REF!,#REF!,#REF!,#REF!),2)-$C34/2&lt;=D34,(ROUND(AVERAGE($D34,$F34,$H34,$J34,$L34,$N34,#REF!,#REF!,#REF!,#REF!,#REF!,#REF!,#REF!,#REF!,#REF!),2)+$C34/2&gt;D34)),($F$5/$C$4),0))))</f>
        <v/>
      </c>
      <c r="F34" s="223" t="str">
        <f t="shared" si="1"/>
        <v/>
      </c>
      <c r="G34" s="222" t="str">
        <f>IF($B34="","",IF(F34="","",IF($L$4="Media aritmética",(F34&lt;=$C34)*($F$5/$C$4)+(F34&gt;$C34)*0,IF(AND(ROUND(AVERAGE($D34,$F34,$H34,$J34,$L34,$N34,#REF!,#REF!,#REF!,#REF!,#REF!,#REF!,#REF!,#REF!,#REF!),2)-$C34/2&lt;=F34,(ROUND(AVERAGE($D34,$F34,$H34,$J34,$L34,$N34,#REF!,#REF!,#REF!,#REF!,#REF!,#REF!,#REF!,#REF!,#REF!),2)+$C34/2&gt;F34)),($F$5/$C$4),0))))</f>
        <v/>
      </c>
      <c r="H34" s="223" t="str">
        <f t="shared" si="2"/>
        <v/>
      </c>
      <c r="I34" s="224" t="str">
        <f>IF($B34="","",IF(H34="","",IF($L$4="Media aritmética",(H34&lt;=$C34)*($F$5/$C$4)+(H34&gt;$C34)*0,IF(AND(ROUND(AVERAGE($D34,$F34,$H34,$J34,$L34,$N34,#REF!,#REF!,#REF!,#REF!,#REF!,#REF!,#REF!,#REF!,#REF!),2)-$C34/2&lt;=H34,(ROUND(AVERAGE($D34,$F34,$H34,$J34,$L34,$N34,#REF!,#REF!,#REF!,#REF!,#REF!,#REF!,#REF!,#REF!,#REF!),2)+$C34/2&gt;H34)),($F$5/$C$4),0))))</f>
        <v/>
      </c>
      <c r="J34" s="219"/>
      <c r="K34" s="220"/>
      <c r="L34" s="219"/>
      <c r="M34" s="220"/>
      <c r="N34" s="219"/>
      <c r="O34" s="70"/>
    </row>
    <row r="35" spans="1:15" s="32" customFormat="1" ht="21" hidden="1" customHeight="1">
      <c r="A35" s="214">
        <v>22</v>
      </c>
      <c r="B35" s="221"/>
      <c r="C35" s="215" t="str">
        <f>IF(B35="","",IF($L$4="Media aritmética",ROUND(AVERAGE(D35,F35,H35,J35,L35,N35,#REF!,#REF!,#REF!,#REF!,#REF!,#REF!,#REF!,#REF!,#REF!),2),ROUND(_xlfn.STDEV.P(D35,F35,H35,J35,L35,N35,#REF!,#REF!,#REF!,#REF!,#REF!,#REF!,#REF!,#REF!,#REF!),2)))</f>
        <v/>
      </c>
      <c r="D35" s="216" t="str">
        <f t="shared" si="0"/>
        <v/>
      </c>
      <c r="E35" s="222" t="str">
        <f>IF($B35="","",IF(D35="","",IF($L$4="Media aritmética",(D35&lt;=$C35)*($F$5/$C$4)+(D35&gt;$C35)*0,IF(AND(ROUND(AVERAGE($D35,$F35,$H35,$J35,$L35,$N35,#REF!,#REF!,#REF!,#REF!,#REF!,#REF!,#REF!,#REF!,#REF!),2)-$C35/2&lt;=D35,(ROUND(AVERAGE($D35,$F35,$H35,$J35,$L35,$N35,#REF!,#REF!,#REF!,#REF!,#REF!,#REF!,#REF!,#REF!,#REF!),2)+$C35/2&gt;D35)),($F$5/$C$4),0))))</f>
        <v/>
      </c>
      <c r="F35" s="223" t="str">
        <f t="shared" si="1"/>
        <v/>
      </c>
      <c r="G35" s="222" t="str">
        <f>IF($B35="","",IF(F35="","",IF($L$4="Media aritmética",(F35&lt;=$C35)*($F$5/$C$4)+(F35&gt;$C35)*0,IF(AND(ROUND(AVERAGE($D35,$F35,$H35,$J35,$L35,$N35,#REF!,#REF!,#REF!,#REF!,#REF!,#REF!,#REF!,#REF!,#REF!),2)-$C35/2&lt;=F35,(ROUND(AVERAGE($D35,$F35,$H35,$J35,$L35,$N35,#REF!,#REF!,#REF!,#REF!,#REF!,#REF!,#REF!,#REF!,#REF!),2)+$C35/2&gt;F35)),($F$5/$C$4),0))))</f>
        <v/>
      </c>
      <c r="H35" s="223" t="str">
        <f t="shared" si="2"/>
        <v/>
      </c>
      <c r="I35" s="224" t="str">
        <f>IF($B35="","",IF(H35="","",IF($L$4="Media aritmética",(H35&lt;=$C35)*($F$5/$C$4)+(H35&gt;$C35)*0,IF(AND(ROUND(AVERAGE($D35,$F35,$H35,$J35,$L35,$N35,#REF!,#REF!,#REF!,#REF!,#REF!,#REF!,#REF!,#REF!,#REF!),2)-$C35/2&lt;=H35,(ROUND(AVERAGE($D35,$F35,$H35,$J35,$L35,$N35,#REF!,#REF!,#REF!,#REF!,#REF!,#REF!,#REF!,#REF!,#REF!),2)+$C35/2&gt;H35)),($F$5/$C$4),0))))</f>
        <v/>
      </c>
      <c r="J35" s="219"/>
      <c r="K35" s="220"/>
      <c r="L35" s="219"/>
      <c r="M35" s="220"/>
      <c r="N35" s="219"/>
      <c r="O35" s="70"/>
    </row>
    <row r="36" spans="1:15" s="32" customFormat="1" ht="21" hidden="1" customHeight="1">
      <c r="A36" s="214">
        <v>23</v>
      </c>
      <c r="B36" s="221"/>
      <c r="C36" s="215" t="str">
        <f>IF(B36="","",IF($L$4="Media aritmética",ROUND(AVERAGE(D36,F36,H36,J36,L36,N36,#REF!,#REF!,#REF!,#REF!,#REF!,#REF!,#REF!,#REF!,#REF!),2),ROUND(_xlfn.STDEV.P(D36,F36,H36,J36,L36,N36,#REF!,#REF!,#REF!,#REF!,#REF!,#REF!,#REF!,#REF!,#REF!),2)))</f>
        <v/>
      </c>
      <c r="D36" s="216" t="str">
        <f t="shared" si="0"/>
        <v/>
      </c>
      <c r="E36" s="222" t="str">
        <f>IF($B36="","",IF(D36="","",IF($L$4="Media aritmética",(D36&lt;=$C36)*($F$5/$C$4)+(D36&gt;$C36)*0,IF(AND(ROUND(AVERAGE($D36,$F36,$H36,$J36,$L36,$N36,#REF!,#REF!,#REF!,#REF!,#REF!,#REF!,#REF!,#REF!,#REF!),2)-$C36/2&lt;=D36,(ROUND(AVERAGE($D36,$F36,$H36,$J36,$L36,$N36,#REF!,#REF!,#REF!,#REF!,#REF!,#REF!,#REF!,#REF!,#REF!),2)+$C36/2&gt;D36)),($F$5/$C$4),0))))</f>
        <v/>
      </c>
      <c r="F36" s="223" t="str">
        <f t="shared" si="1"/>
        <v/>
      </c>
      <c r="G36" s="222" t="str">
        <f>IF($B36="","",IF(F36="","",IF($L$4="Media aritmética",(F36&lt;=$C36)*($F$5/$C$4)+(F36&gt;$C36)*0,IF(AND(ROUND(AVERAGE($D36,$F36,$H36,$J36,$L36,$N36,#REF!,#REF!,#REF!,#REF!,#REF!,#REF!,#REF!,#REF!,#REF!),2)-$C36/2&lt;=F36,(ROUND(AVERAGE($D36,$F36,$H36,$J36,$L36,$N36,#REF!,#REF!,#REF!,#REF!,#REF!,#REF!,#REF!,#REF!,#REF!),2)+$C36/2&gt;F36)),($F$5/$C$4),0))))</f>
        <v/>
      </c>
      <c r="H36" s="223" t="str">
        <f t="shared" si="2"/>
        <v/>
      </c>
      <c r="I36" s="224" t="str">
        <f>IF($B36="","",IF(H36="","",IF($L$4="Media aritmética",(H36&lt;=$C36)*($F$5/$C$4)+(H36&gt;$C36)*0,IF(AND(ROUND(AVERAGE($D36,$F36,$H36,$J36,$L36,$N36,#REF!,#REF!,#REF!,#REF!,#REF!,#REF!,#REF!,#REF!,#REF!),2)-$C36/2&lt;=H36,(ROUND(AVERAGE($D36,$F36,$H36,$J36,$L36,$N36,#REF!,#REF!,#REF!,#REF!,#REF!,#REF!,#REF!,#REF!,#REF!),2)+$C36/2&gt;H36)),($F$5/$C$4),0))))</f>
        <v/>
      </c>
      <c r="J36" s="219"/>
      <c r="K36" s="220"/>
      <c r="L36" s="219"/>
      <c r="M36" s="220"/>
      <c r="N36" s="219"/>
      <c r="O36" s="70"/>
    </row>
    <row r="37" spans="1:15" s="32" customFormat="1" ht="21" hidden="1" customHeight="1">
      <c r="A37" s="214">
        <v>24</v>
      </c>
      <c r="B37" s="221"/>
      <c r="C37" s="215" t="str">
        <f>IF(B37="","",IF($L$4="Media aritmética",ROUND(AVERAGE(D37,F37,H37,J37,L37,N37,#REF!,#REF!,#REF!,#REF!,#REF!,#REF!,#REF!,#REF!,#REF!),2),ROUND(_xlfn.STDEV.P(D37,F37,H37,J37,L37,N37,#REF!,#REF!,#REF!,#REF!,#REF!,#REF!,#REF!,#REF!,#REF!),2)))</f>
        <v/>
      </c>
      <c r="D37" s="216" t="str">
        <f t="shared" si="0"/>
        <v/>
      </c>
      <c r="E37" s="222" t="str">
        <f>IF($B37="","",IF(D37="","",IF($L$4="Media aritmética",(D37&lt;=$C37)*($F$5/$C$4)+(D37&gt;$C37)*0,IF(AND(ROUND(AVERAGE($D37,$F37,$H37,$J37,$L37,$N37,#REF!,#REF!,#REF!,#REF!,#REF!,#REF!,#REF!,#REF!,#REF!),2)-$C37/2&lt;=D37,(ROUND(AVERAGE($D37,$F37,$H37,$J37,$L37,$N37,#REF!,#REF!,#REF!,#REF!,#REF!,#REF!,#REF!,#REF!,#REF!),2)+$C37/2&gt;D37)),($F$5/$C$4),0))))</f>
        <v/>
      </c>
      <c r="F37" s="223" t="str">
        <f t="shared" si="1"/>
        <v/>
      </c>
      <c r="G37" s="222" t="str">
        <f>IF($B37="","",IF(F37="","",IF($L$4="Media aritmética",(F37&lt;=$C37)*($F$5/$C$4)+(F37&gt;$C37)*0,IF(AND(ROUND(AVERAGE($D37,$F37,$H37,$J37,$L37,$N37,#REF!,#REF!,#REF!,#REF!,#REF!,#REF!,#REF!,#REF!,#REF!),2)-$C37/2&lt;=F37,(ROUND(AVERAGE($D37,$F37,$H37,$J37,$L37,$N37,#REF!,#REF!,#REF!,#REF!,#REF!,#REF!,#REF!,#REF!,#REF!),2)+$C37/2&gt;F37)),($F$5/$C$4),0))))</f>
        <v/>
      </c>
      <c r="H37" s="223" t="str">
        <f t="shared" si="2"/>
        <v/>
      </c>
      <c r="I37" s="224" t="str">
        <f>IF($B37="","",IF(H37="","",IF($L$4="Media aritmética",(H37&lt;=$C37)*($F$5/$C$4)+(H37&gt;$C37)*0,IF(AND(ROUND(AVERAGE($D37,$F37,$H37,$J37,$L37,$N37,#REF!,#REF!,#REF!,#REF!,#REF!,#REF!,#REF!,#REF!,#REF!),2)-$C37/2&lt;=H37,(ROUND(AVERAGE($D37,$F37,$H37,$J37,$L37,$N37,#REF!,#REF!,#REF!,#REF!,#REF!,#REF!,#REF!,#REF!,#REF!),2)+$C37/2&gt;H37)),($F$5/$C$4),0))))</f>
        <v/>
      </c>
      <c r="J37" s="219"/>
      <c r="K37" s="220"/>
      <c r="L37" s="219"/>
      <c r="M37" s="220"/>
      <c r="N37" s="219"/>
      <c r="O37" s="70"/>
    </row>
    <row r="38" spans="1:15" s="32" customFormat="1" ht="21" hidden="1" customHeight="1">
      <c r="A38" s="214">
        <v>25</v>
      </c>
      <c r="B38" s="221"/>
      <c r="C38" s="215" t="str">
        <f>IF(B38="","",IF($L$4="Media aritmética",ROUND(AVERAGE(D38,F38,H38,J38,L38,N38,#REF!,#REF!,#REF!,#REF!,#REF!,#REF!,#REF!,#REF!,#REF!),2),ROUND(_xlfn.STDEV.P(D38,F38,H38,J38,L38,N38,#REF!,#REF!,#REF!,#REF!,#REF!,#REF!,#REF!,#REF!,#REF!),2)))</f>
        <v/>
      </c>
      <c r="D38" s="216" t="str">
        <f t="shared" si="0"/>
        <v/>
      </c>
      <c r="E38" s="222" t="str">
        <f>IF($B38="","",IF(D38="","",IF($L$4="Media aritmética",(D38&lt;=$C38)*($F$5/$C$4)+(D38&gt;$C38)*0,IF(AND(ROUND(AVERAGE($D38,$F38,$H38,$J38,$L38,$N38,#REF!,#REF!,#REF!,#REF!,#REF!,#REF!,#REF!,#REF!,#REF!),2)-$C38/2&lt;=D38,(ROUND(AVERAGE($D38,$F38,$H38,$J38,$L38,$N38,#REF!,#REF!,#REF!,#REF!,#REF!,#REF!,#REF!,#REF!,#REF!),2)+$C38/2&gt;D38)),($F$5/$C$4),0))))</f>
        <v/>
      </c>
      <c r="F38" s="223" t="str">
        <f t="shared" si="1"/>
        <v/>
      </c>
      <c r="G38" s="222" t="str">
        <f>IF($B38="","",IF(F38="","",IF($L$4="Media aritmética",(F38&lt;=$C38)*($F$5/$C$4)+(F38&gt;$C38)*0,IF(AND(ROUND(AVERAGE($D38,$F38,$H38,$J38,$L38,$N38,#REF!,#REF!,#REF!,#REF!,#REF!,#REF!,#REF!,#REF!,#REF!),2)-$C38/2&lt;=F38,(ROUND(AVERAGE($D38,$F38,$H38,$J38,$L38,$N38,#REF!,#REF!,#REF!,#REF!,#REF!,#REF!,#REF!,#REF!,#REF!),2)+$C38/2&gt;F38)),($F$5/$C$4),0))))</f>
        <v/>
      </c>
      <c r="H38" s="223" t="str">
        <f t="shared" si="2"/>
        <v/>
      </c>
      <c r="I38" s="224" t="str">
        <f>IF($B38="","",IF(H38="","",IF($L$4="Media aritmética",(H38&lt;=$C38)*($F$5/$C$4)+(H38&gt;$C38)*0,IF(AND(ROUND(AVERAGE($D38,$F38,$H38,$J38,$L38,$N38,#REF!,#REF!,#REF!,#REF!,#REF!,#REF!,#REF!,#REF!,#REF!),2)-$C38/2&lt;=H38,(ROUND(AVERAGE($D38,$F38,$H38,$J38,$L38,$N38,#REF!,#REF!,#REF!,#REF!,#REF!,#REF!,#REF!,#REF!,#REF!),2)+$C38/2&gt;H38)),($F$5/$C$4),0))))</f>
        <v/>
      </c>
      <c r="J38" s="219"/>
      <c r="K38" s="220"/>
      <c r="L38" s="219"/>
      <c r="M38" s="220"/>
      <c r="N38" s="219"/>
      <c r="O38" s="70"/>
    </row>
    <row r="39" spans="1:15" s="32" customFormat="1" ht="21" hidden="1" customHeight="1">
      <c r="A39" s="214">
        <v>26</v>
      </c>
      <c r="B39" s="221"/>
      <c r="C39" s="215" t="str">
        <f>IF(B39="","",IF($L$4="Media aritmética",ROUND(AVERAGE(D39,F39,H39,J39,L39,N39,#REF!,#REF!,#REF!,#REF!,#REF!,#REF!,#REF!,#REF!,#REF!),2),ROUND(_xlfn.STDEV.P(D39,F39,H39,J39,L39,N39,#REF!,#REF!,#REF!,#REF!,#REF!,#REF!,#REF!,#REF!,#REF!),2)))</f>
        <v/>
      </c>
      <c r="D39" s="216" t="str">
        <f t="shared" si="0"/>
        <v/>
      </c>
      <c r="E39" s="222" t="str">
        <f>IF($B39="","",IF(D39="","",IF($L$4="Media aritmética",(D39&lt;=$C39)*($F$5/$C$4)+(D39&gt;$C39)*0,IF(AND(ROUND(AVERAGE($D39,$F39,$H39,$J39,$L39,$N39,#REF!,#REF!,#REF!,#REF!,#REF!,#REF!,#REF!,#REF!,#REF!),2)-$C39/2&lt;=D39,(ROUND(AVERAGE($D39,$F39,$H39,$J39,$L39,$N39,#REF!,#REF!,#REF!,#REF!,#REF!,#REF!,#REF!,#REF!,#REF!),2)+$C39/2&gt;D39)),($F$5/$C$4),0))))</f>
        <v/>
      </c>
      <c r="F39" s="223" t="str">
        <f t="shared" si="1"/>
        <v/>
      </c>
      <c r="G39" s="222" t="str">
        <f>IF($B39="","",IF(F39="","",IF($L$4="Media aritmética",(F39&lt;=$C39)*($F$5/$C$4)+(F39&gt;$C39)*0,IF(AND(ROUND(AVERAGE($D39,$F39,$H39,$J39,$L39,$N39,#REF!,#REF!,#REF!,#REF!,#REF!,#REF!,#REF!,#REF!,#REF!),2)-$C39/2&lt;=F39,(ROUND(AVERAGE($D39,$F39,$H39,$J39,$L39,$N39,#REF!,#REF!,#REF!,#REF!,#REF!,#REF!,#REF!,#REF!,#REF!),2)+$C39/2&gt;F39)),($F$5/$C$4),0))))</f>
        <v/>
      </c>
      <c r="H39" s="223" t="str">
        <f t="shared" si="2"/>
        <v/>
      </c>
      <c r="I39" s="224" t="str">
        <f>IF($B39="","",IF(H39="","",IF($L$4="Media aritmética",(H39&lt;=$C39)*($F$5/$C$4)+(H39&gt;$C39)*0,IF(AND(ROUND(AVERAGE($D39,$F39,$H39,$J39,$L39,$N39,#REF!,#REF!,#REF!,#REF!,#REF!,#REF!,#REF!,#REF!,#REF!),2)-$C39/2&lt;=H39,(ROUND(AVERAGE($D39,$F39,$H39,$J39,$L39,$N39,#REF!,#REF!,#REF!,#REF!,#REF!,#REF!,#REF!,#REF!,#REF!),2)+$C39/2&gt;H39)),($F$5/$C$4),0))))</f>
        <v/>
      </c>
      <c r="J39" s="219"/>
      <c r="K39" s="220"/>
      <c r="L39" s="219"/>
      <c r="M39" s="220"/>
      <c r="N39" s="219"/>
      <c r="O39" s="70"/>
    </row>
    <row r="40" spans="1:15" s="32" customFormat="1" ht="21" hidden="1" customHeight="1">
      <c r="A40" s="214">
        <v>27</v>
      </c>
      <c r="B40" s="221"/>
      <c r="C40" s="215" t="str">
        <f>IF(B40="","",IF($L$4="Media aritmética",ROUND(AVERAGE(D40,F40,H40,J40,L40,N40,#REF!,#REF!,#REF!,#REF!,#REF!,#REF!,#REF!,#REF!,#REF!),2),ROUND(_xlfn.STDEV.P(D40,F40,H40,J40,L40,N40,#REF!,#REF!,#REF!,#REF!,#REF!,#REF!,#REF!,#REF!,#REF!),2)))</f>
        <v/>
      </c>
      <c r="D40" s="216" t="str">
        <f t="shared" si="0"/>
        <v/>
      </c>
      <c r="E40" s="222" t="str">
        <f>IF($B40="","",IF(D40="","",IF($L$4="Media aritmética",(D40&lt;=$C40)*($F$5/$C$4)+(D40&gt;$C40)*0,IF(AND(ROUND(AVERAGE($D40,$F40,$H40,$J40,$L40,$N40,#REF!,#REF!,#REF!,#REF!,#REF!,#REF!,#REF!,#REF!,#REF!),2)-$C40/2&lt;=D40,(ROUND(AVERAGE($D40,$F40,$H40,$J40,$L40,$N40,#REF!,#REF!,#REF!,#REF!,#REF!,#REF!,#REF!,#REF!,#REF!),2)+$C40/2&gt;D40)),($F$5/$C$4),0))))</f>
        <v/>
      </c>
      <c r="F40" s="223" t="str">
        <f t="shared" si="1"/>
        <v/>
      </c>
      <c r="G40" s="222" t="str">
        <f>IF($B40="","",IF(F40="","",IF($L$4="Media aritmética",(F40&lt;=$C40)*($F$5/$C$4)+(F40&gt;$C40)*0,IF(AND(ROUND(AVERAGE($D40,$F40,$H40,$J40,$L40,$N40,#REF!,#REF!,#REF!,#REF!,#REF!,#REF!,#REF!,#REF!,#REF!),2)-$C40/2&lt;=F40,(ROUND(AVERAGE($D40,$F40,$H40,$J40,$L40,$N40,#REF!,#REF!,#REF!,#REF!,#REF!,#REF!,#REF!,#REF!,#REF!),2)+$C40/2&gt;F40)),($F$5/$C$4),0))))</f>
        <v/>
      </c>
      <c r="H40" s="223" t="str">
        <f t="shared" si="2"/>
        <v/>
      </c>
      <c r="I40" s="224" t="str">
        <f>IF($B40="","",IF(H40="","",IF($L$4="Media aritmética",(H40&lt;=$C40)*($F$5/$C$4)+(H40&gt;$C40)*0,IF(AND(ROUND(AVERAGE($D40,$F40,$H40,$J40,$L40,$N40,#REF!,#REF!,#REF!,#REF!,#REF!,#REF!,#REF!,#REF!,#REF!),2)-$C40/2&lt;=H40,(ROUND(AVERAGE($D40,$F40,$H40,$J40,$L40,$N40,#REF!,#REF!,#REF!,#REF!,#REF!,#REF!,#REF!,#REF!,#REF!),2)+$C40/2&gt;H40)),($F$5/$C$4),0))))</f>
        <v/>
      </c>
      <c r="J40" s="219"/>
      <c r="K40" s="220"/>
      <c r="L40" s="219"/>
      <c r="M40" s="220"/>
      <c r="N40" s="219"/>
      <c r="O40" s="70"/>
    </row>
    <row r="41" spans="1:15" s="32" customFormat="1" ht="21" hidden="1" customHeight="1">
      <c r="A41" s="214">
        <v>28</v>
      </c>
      <c r="B41" s="221"/>
      <c r="C41" s="215" t="str">
        <f>IF(B41="","",IF($L$4="Media aritmética",ROUND(AVERAGE(D41,F41,H41,J41,L41,N41,#REF!,#REF!,#REF!,#REF!,#REF!,#REF!,#REF!,#REF!,#REF!),2),ROUND(_xlfn.STDEV.P(D41,F41,H41,J41,L41,N41,#REF!,#REF!,#REF!,#REF!,#REF!,#REF!,#REF!,#REF!,#REF!),2)))</f>
        <v/>
      </c>
      <c r="D41" s="216" t="str">
        <f t="shared" si="0"/>
        <v/>
      </c>
      <c r="E41" s="222" t="str">
        <f>IF($B41="","",IF(D41="","",IF($L$4="Media aritmética",(D41&lt;=$C41)*($F$5/$C$4)+(D41&gt;$C41)*0,IF(AND(ROUND(AVERAGE($D41,$F41,$H41,$J41,$L41,$N41,#REF!,#REF!,#REF!,#REF!,#REF!,#REF!,#REF!,#REF!,#REF!),2)-$C41/2&lt;=D41,(ROUND(AVERAGE($D41,$F41,$H41,$J41,$L41,$N41,#REF!,#REF!,#REF!,#REF!,#REF!,#REF!,#REF!,#REF!,#REF!),2)+$C41/2&gt;D41)),($F$5/$C$4),0))))</f>
        <v/>
      </c>
      <c r="F41" s="223" t="str">
        <f t="shared" si="1"/>
        <v/>
      </c>
      <c r="G41" s="222" t="str">
        <f>IF($B41="","",IF(F41="","",IF($L$4="Media aritmética",(F41&lt;=$C41)*($F$5/$C$4)+(F41&gt;$C41)*0,IF(AND(ROUND(AVERAGE($D41,$F41,$H41,$J41,$L41,$N41,#REF!,#REF!,#REF!,#REF!,#REF!,#REF!,#REF!,#REF!,#REF!),2)-$C41/2&lt;=F41,(ROUND(AVERAGE($D41,$F41,$H41,$J41,$L41,$N41,#REF!,#REF!,#REF!,#REF!,#REF!,#REF!,#REF!,#REF!,#REF!),2)+$C41/2&gt;F41)),($F$5/$C$4),0))))</f>
        <v/>
      </c>
      <c r="H41" s="223" t="str">
        <f t="shared" si="2"/>
        <v/>
      </c>
      <c r="I41" s="224" t="str">
        <f>IF($B41="","",IF(H41="","",IF($L$4="Media aritmética",(H41&lt;=$C41)*($F$5/$C$4)+(H41&gt;$C41)*0,IF(AND(ROUND(AVERAGE($D41,$F41,$H41,$J41,$L41,$N41,#REF!,#REF!,#REF!,#REF!,#REF!,#REF!,#REF!,#REF!,#REF!),2)-$C41/2&lt;=H41,(ROUND(AVERAGE($D41,$F41,$H41,$J41,$L41,$N41,#REF!,#REF!,#REF!,#REF!,#REF!,#REF!,#REF!,#REF!,#REF!),2)+$C41/2&gt;H41)),($F$5/$C$4),0))))</f>
        <v/>
      </c>
      <c r="J41" s="219"/>
      <c r="K41" s="220"/>
      <c r="L41" s="219"/>
      <c r="M41" s="220"/>
      <c r="N41" s="219"/>
      <c r="O41" s="70"/>
    </row>
    <row r="42" spans="1:15" s="32" customFormat="1" ht="21" hidden="1" customHeight="1">
      <c r="A42" s="214">
        <v>29</v>
      </c>
      <c r="B42" s="221"/>
      <c r="C42" s="215" t="str">
        <f>IF(B42="","",IF($L$4="Media aritmética",ROUND(AVERAGE(D42,F42,H42,J42,L42,N42,#REF!,#REF!,#REF!,#REF!,#REF!,#REF!,#REF!,#REF!,#REF!),2),ROUND(_xlfn.STDEV.P(D42,F42,H42,J42,L42,N42,#REF!,#REF!,#REF!,#REF!,#REF!,#REF!,#REF!,#REF!,#REF!),2)))</f>
        <v/>
      </c>
      <c r="D42" s="216" t="str">
        <f t="shared" si="0"/>
        <v/>
      </c>
      <c r="E42" s="222" t="str">
        <f>IF($B42="","",IF(D42="","",IF($L$4="Media aritmética",(D42&lt;=$C42)*($F$5/$C$4)+(D42&gt;$C42)*0,IF(AND(ROUND(AVERAGE($D42,$F42,$H42,$J42,$L42,$N42,#REF!,#REF!,#REF!,#REF!,#REF!,#REF!,#REF!,#REF!,#REF!),2)-$C42/2&lt;=D42,(ROUND(AVERAGE($D42,$F42,$H42,$J42,$L42,$N42,#REF!,#REF!,#REF!,#REF!,#REF!,#REF!,#REF!,#REF!,#REF!),2)+$C42/2&gt;D42)),($F$5/$C$4),0))))</f>
        <v/>
      </c>
      <c r="F42" s="223" t="str">
        <f t="shared" si="1"/>
        <v/>
      </c>
      <c r="G42" s="222" t="str">
        <f>IF($B42="","",IF(F42="","",IF($L$4="Media aritmética",(F42&lt;=$C42)*($F$5/$C$4)+(F42&gt;$C42)*0,IF(AND(ROUND(AVERAGE($D42,$F42,$H42,$J42,$L42,$N42,#REF!,#REF!,#REF!,#REF!,#REF!,#REF!,#REF!,#REF!,#REF!),2)-$C42/2&lt;=F42,(ROUND(AVERAGE($D42,$F42,$H42,$J42,$L42,$N42,#REF!,#REF!,#REF!,#REF!,#REF!,#REF!,#REF!,#REF!,#REF!),2)+$C42/2&gt;F42)),($F$5/$C$4),0))))</f>
        <v/>
      </c>
      <c r="H42" s="223" t="str">
        <f t="shared" si="2"/>
        <v/>
      </c>
      <c r="I42" s="224" t="str">
        <f>IF($B42="","",IF(H42="","",IF($L$4="Media aritmética",(H42&lt;=$C42)*($F$5/$C$4)+(H42&gt;$C42)*0,IF(AND(ROUND(AVERAGE($D42,$F42,$H42,$J42,$L42,$N42,#REF!,#REF!,#REF!,#REF!,#REF!,#REF!,#REF!,#REF!,#REF!),2)-$C42/2&lt;=H42,(ROUND(AVERAGE($D42,$F42,$H42,$J42,$L42,$N42,#REF!,#REF!,#REF!,#REF!,#REF!,#REF!,#REF!,#REF!,#REF!),2)+$C42/2&gt;H42)),($F$5/$C$4),0))))</f>
        <v/>
      </c>
      <c r="J42" s="219"/>
      <c r="K42" s="220"/>
      <c r="L42" s="219"/>
      <c r="M42" s="220"/>
      <c r="N42" s="219"/>
      <c r="O42" s="70"/>
    </row>
    <row r="43" spans="1:15" s="32" customFormat="1" ht="21" hidden="1" customHeight="1">
      <c r="A43" s="214">
        <v>30</v>
      </c>
      <c r="B43" s="221"/>
      <c r="C43" s="215" t="str">
        <f>IF(B43="","",IF($L$4="Media aritmética",ROUND(AVERAGE(D43,F43,H43,J43,L43,N43,#REF!,#REF!,#REF!,#REF!,#REF!,#REF!,#REF!,#REF!,#REF!),2),ROUND(_xlfn.STDEV.P(D43,F43,H43,J43,L43,N43,#REF!,#REF!,#REF!,#REF!,#REF!,#REF!,#REF!,#REF!,#REF!),2)))</f>
        <v/>
      </c>
      <c r="D43" s="216" t="str">
        <f t="shared" si="0"/>
        <v/>
      </c>
      <c r="E43" s="222" t="str">
        <f>IF($B43="","",IF(D43="","",IF($L$4="Media aritmética",(D43&lt;=$C43)*($F$5/$C$4)+(D43&gt;$C43)*0,IF(AND(ROUND(AVERAGE($D43,$F43,$H43,$J43,$L43,$N43,#REF!,#REF!,#REF!,#REF!,#REF!,#REF!,#REF!,#REF!,#REF!),2)-$C43/2&lt;=D43,(ROUND(AVERAGE($D43,$F43,$H43,$J43,$L43,$N43,#REF!,#REF!,#REF!,#REF!,#REF!,#REF!,#REF!,#REF!,#REF!),2)+$C43/2&gt;D43)),($F$5/$C$4),0))))</f>
        <v/>
      </c>
      <c r="F43" s="223" t="str">
        <f t="shared" si="1"/>
        <v/>
      </c>
      <c r="G43" s="222" t="str">
        <f>IF($B43="","",IF(F43="","",IF($L$4="Media aritmética",(F43&lt;=$C43)*($F$5/$C$4)+(F43&gt;$C43)*0,IF(AND(ROUND(AVERAGE($D43,$F43,$H43,$J43,$L43,$N43,#REF!,#REF!,#REF!,#REF!,#REF!,#REF!,#REF!,#REF!,#REF!),2)-$C43/2&lt;=F43,(ROUND(AVERAGE($D43,$F43,$H43,$J43,$L43,$N43,#REF!,#REF!,#REF!,#REF!,#REF!,#REF!,#REF!,#REF!,#REF!),2)+$C43/2&gt;F43)),($F$5/$C$4),0))))</f>
        <v/>
      </c>
      <c r="H43" s="223" t="str">
        <f t="shared" si="2"/>
        <v/>
      </c>
      <c r="I43" s="224" t="str">
        <f>IF($B43="","",IF(H43="","",IF($L$4="Media aritmética",(H43&lt;=$C43)*($F$5/$C$4)+(H43&gt;$C43)*0,IF(AND(ROUND(AVERAGE($D43,$F43,$H43,$J43,$L43,$N43,#REF!,#REF!,#REF!,#REF!,#REF!,#REF!,#REF!,#REF!,#REF!),2)-$C43/2&lt;=H43,(ROUND(AVERAGE($D43,$F43,$H43,$J43,$L43,$N43,#REF!,#REF!,#REF!,#REF!,#REF!,#REF!,#REF!,#REF!,#REF!),2)+$C43/2&gt;H43)),($F$5/$C$4),0))))</f>
        <v/>
      </c>
      <c r="J43" s="219"/>
      <c r="K43" s="220"/>
      <c r="L43" s="219"/>
      <c r="M43" s="220"/>
      <c r="N43" s="219"/>
      <c r="O43" s="70"/>
    </row>
    <row r="44" spans="1:15" s="32" customFormat="1" ht="21" hidden="1" customHeight="1">
      <c r="A44" s="214">
        <v>31</v>
      </c>
      <c r="B44" s="221"/>
      <c r="C44" s="215" t="str">
        <f>IF(B44="","",IF($L$4="Media aritmética",ROUND(AVERAGE(D44,F44,H44,J44,L44,N44,#REF!,#REF!,#REF!,#REF!,#REF!,#REF!,#REF!,#REF!,#REF!),2),ROUND(_xlfn.STDEV.P(D44,F44,H44,J44,L44,N44,#REF!,#REF!,#REF!,#REF!,#REF!,#REF!,#REF!,#REF!,#REF!),2)))</f>
        <v/>
      </c>
      <c r="D44" s="216" t="str">
        <f t="shared" si="0"/>
        <v/>
      </c>
      <c r="E44" s="222" t="str">
        <f>IF($B44="","",IF(D44="","",IF($L$4="Media aritmética",(D44&lt;=$C44)*($F$5/$C$4)+(D44&gt;$C44)*0,IF(AND(ROUND(AVERAGE($D44,$F44,$H44,$J44,$L44,$N44,#REF!,#REF!,#REF!,#REF!,#REF!,#REF!,#REF!,#REF!,#REF!),2)-$C44/2&lt;=D44,(ROUND(AVERAGE($D44,$F44,$H44,$J44,$L44,$N44,#REF!,#REF!,#REF!,#REF!,#REF!,#REF!,#REF!,#REF!,#REF!),2)+$C44/2&gt;D44)),($F$5/$C$4),0))))</f>
        <v/>
      </c>
      <c r="F44" s="223" t="str">
        <f t="shared" si="1"/>
        <v/>
      </c>
      <c r="G44" s="222" t="str">
        <f>IF($B44="","",IF(F44="","",IF($L$4="Media aritmética",(F44&lt;=$C44)*($F$5/$C$4)+(F44&gt;$C44)*0,IF(AND(ROUND(AVERAGE($D44,$F44,$H44,$J44,$L44,$N44,#REF!,#REF!,#REF!,#REF!,#REF!,#REF!,#REF!,#REF!,#REF!),2)-$C44/2&lt;=F44,(ROUND(AVERAGE($D44,$F44,$H44,$J44,$L44,$N44,#REF!,#REF!,#REF!,#REF!,#REF!,#REF!,#REF!,#REF!,#REF!),2)+$C44/2&gt;F44)),($F$5/$C$4),0))))</f>
        <v/>
      </c>
      <c r="H44" s="223" t="str">
        <f t="shared" si="2"/>
        <v/>
      </c>
      <c r="I44" s="224" t="str">
        <f>IF($B44="","",IF(H44="","",IF($L$4="Media aritmética",(H44&lt;=$C44)*($F$5/$C$4)+(H44&gt;$C44)*0,IF(AND(ROUND(AVERAGE($D44,$F44,$H44,$J44,$L44,$N44,#REF!,#REF!,#REF!,#REF!,#REF!,#REF!,#REF!,#REF!,#REF!),2)-$C44/2&lt;=H44,(ROUND(AVERAGE($D44,$F44,$H44,$J44,$L44,$N44,#REF!,#REF!,#REF!,#REF!,#REF!,#REF!,#REF!,#REF!,#REF!),2)+$C44/2&gt;H44)),($F$5/$C$4),0))))</f>
        <v/>
      </c>
      <c r="J44" s="219"/>
      <c r="K44" s="220"/>
      <c r="L44" s="219"/>
      <c r="M44" s="220"/>
      <c r="N44" s="219"/>
      <c r="O44" s="70"/>
    </row>
    <row r="45" spans="1:15" s="32" customFormat="1" ht="21" hidden="1" customHeight="1">
      <c r="A45" s="214">
        <v>32</v>
      </c>
      <c r="B45" s="221"/>
      <c r="C45" s="215" t="str">
        <f>IF(B45="","",IF($L$4="Media aritmética",ROUND(AVERAGE(D45,F45,H45,J45,L45,N45,#REF!,#REF!,#REF!,#REF!,#REF!,#REF!,#REF!,#REF!,#REF!),2),ROUND(_xlfn.STDEV.P(D45,F45,H45,J45,L45,N45,#REF!,#REF!,#REF!,#REF!,#REF!,#REF!,#REF!,#REF!,#REF!),2)))</f>
        <v/>
      </c>
      <c r="D45" s="216" t="str">
        <f t="shared" si="0"/>
        <v/>
      </c>
      <c r="E45" s="222" t="str">
        <f>IF($B45="","",IF(D45="","",IF($L$4="Media aritmética",(D45&lt;=$C45)*($F$5/$C$4)+(D45&gt;$C45)*0,IF(AND(ROUND(AVERAGE($D45,$F45,$H45,$J45,$L45,$N45,#REF!,#REF!,#REF!,#REF!,#REF!,#REF!,#REF!,#REF!,#REF!),2)-$C45/2&lt;=D45,(ROUND(AVERAGE($D45,$F45,$H45,$J45,$L45,$N45,#REF!,#REF!,#REF!,#REF!,#REF!,#REF!,#REF!,#REF!,#REF!),2)+$C45/2&gt;D45)),($F$5/$C$4),0))))</f>
        <v/>
      </c>
      <c r="F45" s="223" t="str">
        <f t="shared" si="1"/>
        <v/>
      </c>
      <c r="G45" s="222" t="str">
        <f>IF($B45="","",IF(F45="","",IF($L$4="Media aritmética",(F45&lt;=$C45)*($F$5/$C$4)+(F45&gt;$C45)*0,IF(AND(ROUND(AVERAGE($D45,$F45,$H45,$J45,$L45,$N45,#REF!,#REF!,#REF!,#REF!,#REF!,#REF!,#REF!,#REF!,#REF!),2)-$C45/2&lt;=F45,(ROUND(AVERAGE($D45,$F45,$H45,$J45,$L45,$N45,#REF!,#REF!,#REF!,#REF!,#REF!,#REF!,#REF!,#REF!,#REF!),2)+$C45/2&gt;F45)),($F$5/$C$4),0))))</f>
        <v/>
      </c>
      <c r="H45" s="223" t="str">
        <f t="shared" si="2"/>
        <v/>
      </c>
      <c r="I45" s="224" t="str">
        <f>IF($B45="","",IF(H45="","",IF($L$4="Media aritmética",(H45&lt;=$C45)*($F$5/$C$4)+(H45&gt;$C45)*0,IF(AND(ROUND(AVERAGE($D45,$F45,$H45,$J45,$L45,$N45,#REF!,#REF!,#REF!,#REF!,#REF!,#REF!,#REF!,#REF!,#REF!),2)-$C45/2&lt;=H45,(ROUND(AVERAGE($D45,$F45,$H45,$J45,$L45,$N45,#REF!,#REF!,#REF!,#REF!,#REF!,#REF!,#REF!,#REF!,#REF!),2)+$C45/2&gt;H45)),($F$5/$C$4),0))))</f>
        <v/>
      </c>
      <c r="J45" s="219"/>
      <c r="K45" s="220"/>
      <c r="L45" s="219"/>
      <c r="M45" s="220"/>
      <c r="N45" s="219"/>
      <c r="O45" s="70"/>
    </row>
    <row r="46" spans="1:15" s="32" customFormat="1" ht="21" hidden="1" customHeight="1">
      <c r="A46" s="214">
        <v>33</v>
      </c>
      <c r="B46" s="221"/>
      <c r="C46" s="215" t="str">
        <f>IF(B46="","",IF($L$4="Media aritmética",ROUND(AVERAGE(D46,F46,H46,J46,L46,N46,#REF!,#REF!,#REF!,#REF!,#REF!,#REF!,#REF!,#REF!,#REF!),2),ROUND(_xlfn.STDEV.P(D46,F46,H46,J46,L46,N46,#REF!,#REF!,#REF!,#REF!,#REF!,#REF!,#REF!,#REF!,#REF!),2)))</f>
        <v/>
      </c>
      <c r="D46" s="216" t="str">
        <f t="shared" ref="D46:D70" si="7">IF($D$8="Habilitado",IF($B46="","",ROUND(VLOOKUP($B46,UNITARIO_1,5,FALSE),2)),"")</f>
        <v/>
      </c>
      <c r="E46" s="222" t="str">
        <f>IF($B46="","",IF(D46="","",IF($L$4="Media aritmética",(D46&lt;=$C46)*($F$5/$C$4)+(D46&gt;$C46)*0,IF(AND(ROUND(AVERAGE($D46,$F46,$H46,$J46,$L46,$N46,#REF!,#REF!,#REF!,#REF!,#REF!,#REF!,#REF!,#REF!,#REF!),2)-$C46/2&lt;=D46,(ROUND(AVERAGE($D46,$F46,$H46,$J46,$L46,$N46,#REF!,#REF!,#REF!,#REF!,#REF!,#REF!,#REF!,#REF!,#REF!),2)+$C46/2&gt;D46)),($F$5/$C$4),0))))</f>
        <v/>
      </c>
      <c r="F46" s="223" t="str">
        <f t="shared" ref="F46:F70" si="8">IF($F$8="Habilitado",IF($B46="","",ROUND(VLOOKUP($B46,UNITARIO_2,5,FALSE),2)),"")</f>
        <v/>
      </c>
      <c r="G46" s="222" t="str">
        <f>IF($B46="","",IF(F46="","",IF($L$4="Media aritmética",(F46&lt;=$C46)*($F$5/$C$4)+(F46&gt;$C46)*0,IF(AND(ROUND(AVERAGE($D46,$F46,$H46,$J46,$L46,$N46,#REF!,#REF!,#REF!,#REF!,#REF!,#REF!,#REF!,#REF!,#REF!),2)-$C46/2&lt;=F46,(ROUND(AVERAGE($D46,$F46,$H46,$J46,$L46,$N46,#REF!,#REF!,#REF!,#REF!,#REF!,#REF!,#REF!,#REF!,#REF!),2)+$C46/2&gt;F46)),($F$5/$C$4),0))))</f>
        <v/>
      </c>
      <c r="H46" s="223" t="str">
        <f t="shared" ref="H46:H70" si="9">IF($H$8="Habilitado",IF($B46="","",ROUND(VLOOKUP($B46,UNITARIO_3,5,FALSE),2)),"")</f>
        <v/>
      </c>
      <c r="I46" s="224" t="str">
        <f>IF($B46="","",IF(H46="","",IF($L$4="Media aritmética",(H46&lt;=$C46)*($F$5/$C$4)+(H46&gt;$C46)*0,IF(AND(ROUND(AVERAGE($D46,$F46,$H46,$J46,$L46,$N46,#REF!,#REF!,#REF!,#REF!,#REF!,#REF!,#REF!,#REF!,#REF!),2)-$C46/2&lt;=H46,(ROUND(AVERAGE($D46,$F46,$H46,$J46,$L46,$N46,#REF!,#REF!,#REF!,#REF!,#REF!,#REF!,#REF!,#REF!,#REF!),2)+$C46/2&gt;H46)),($F$5/$C$4),0))))</f>
        <v/>
      </c>
      <c r="J46" s="219"/>
      <c r="K46" s="220"/>
      <c r="L46" s="219"/>
      <c r="M46" s="220"/>
      <c r="N46" s="219"/>
      <c r="O46" s="70"/>
    </row>
    <row r="47" spans="1:15" s="32" customFormat="1" ht="21" hidden="1" customHeight="1">
      <c r="A47" s="214">
        <v>34</v>
      </c>
      <c r="B47" s="221"/>
      <c r="C47" s="215" t="str">
        <f>IF(B47="","",IF($L$4="Media aritmética",ROUND(AVERAGE(D47,F47,H47,J47,L47,N47,#REF!,#REF!,#REF!,#REF!,#REF!,#REF!,#REF!,#REF!,#REF!),2),ROUND(_xlfn.STDEV.P(D47,F47,H47,J47,L47,N47,#REF!,#REF!,#REF!,#REF!,#REF!,#REF!,#REF!,#REF!,#REF!),2)))</f>
        <v/>
      </c>
      <c r="D47" s="216" t="str">
        <f t="shared" si="7"/>
        <v/>
      </c>
      <c r="E47" s="222" t="str">
        <f>IF($B47="","",IF(D47="","",IF($L$4="Media aritmética",(D47&lt;=$C47)*($F$5/$C$4)+(D47&gt;$C47)*0,IF(AND(ROUND(AVERAGE($D47,$F47,$H47,$J47,$L47,$N47,#REF!,#REF!,#REF!,#REF!,#REF!,#REF!,#REF!,#REF!,#REF!),2)-$C47/2&lt;=D47,(ROUND(AVERAGE($D47,$F47,$H47,$J47,$L47,$N47,#REF!,#REF!,#REF!,#REF!,#REF!,#REF!,#REF!,#REF!,#REF!),2)+$C47/2&gt;D47)),($F$5/$C$4),0))))</f>
        <v/>
      </c>
      <c r="F47" s="223" t="str">
        <f t="shared" si="8"/>
        <v/>
      </c>
      <c r="G47" s="222" t="str">
        <f>IF($B47="","",IF(F47="","",IF($L$4="Media aritmética",(F47&lt;=$C47)*($F$5/$C$4)+(F47&gt;$C47)*0,IF(AND(ROUND(AVERAGE($D47,$F47,$H47,$J47,$L47,$N47,#REF!,#REF!,#REF!,#REF!,#REF!,#REF!,#REF!,#REF!,#REF!),2)-$C47/2&lt;=F47,(ROUND(AVERAGE($D47,$F47,$H47,$J47,$L47,$N47,#REF!,#REF!,#REF!,#REF!,#REF!,#REF!,#REF!,#REF!,#REF!),2)+$C47/2&gt;F47)),($F$5/$C$4),0))))</f>
        <v/>
      </c>
      <c r="H47" s="223" t="str">
        <f t="shared" si="9"/>
        <v/>
      </c>
      <c r="I47" s="224" t="str">
        <f>IF($B47="","",IF(H47="","",IF($L$4="Media aritmética",(H47&lt;=$C47)*($F$5/$C$4)+(H47&gt;$C47)*0,IF(AND(ROUND(AVERAGE($D47,$F47,$H47,$J47,$L47,$N47,#REF!,#REF!,#REF!,#REF!,#REF!,#REF!,#REF!,#REF!,#REF!),2)-$C47/2&lt;=H47,(ROUND(AVERAGE($D47,$F47,$H47,$J47,$L47,$N47,#REF!,#REF!,#REF!,#REF!,#REF!,#REF!,#REF!,#REF!,#REF!),2)+$C47/2&gt;H47)),($F$5/$C$4),0))))</f>
        <v/>
      </c>
      <c r="J47" s="219"/>
      <c r="K47" s="220"/>
      <c r="L47" s="219"/>
      <c r="M47" s="220"/>
      <c r="N47" s="219"/>
      <c r="O47" s="70"/>
    </row>
    <row r="48" spans="1:15" s="32" customFormat="1" ht="21" hidden="1" customHeight="1">
      <c r="A48" s="214">
        <v>35</v>
      </c>
      <c r="B48" s="221"/>
      <c r="C48" s="215" t="str">
        <f>IF(B48="","",IF($L$4="Media aritmética",ROUND(AVERAGE(D48,F48,H48,J48,L48,N48,#REF!,#REF!,#REF!,#REF!,#REF!,#REF!,#REF!,#REF!,#REF!),2),ROUND(_xlfn.STDEV.P(D48,F48,H48,J48,L48,N48,#REF!,#REF!,#REF!,#REF!,#REF!,#REF!,#REF!,#REF!,#REF!),2)))</f>
        <v/>
      </c>
      <c r="D48" s="216" t="str">
        <f t="shared" si="7"/>
        <v/>
      </c>
      <c r="E48" s="222" t="str">
        <f>IF($B48="","",IF(D48="","",IF($L$4="Media aritmética",(D48&lt;=$C48)*($F$5/$C$4)+(D48&gt;$C48)*0,IF(AND(ROUND(AVERAGE($D48,$F48,$H48,$J48,$L48,$N48,#REF!,#REF!,#REF!,#REF!,#REF!,#REF!,#REF!,#REF!,#REF!),2)-$C48/2&lt;=D48,(ROUND(AVERAGE($D48,$F48,$H48,$J48,$L48,$N48,#REF!,#REF!,#REF!,#REF!,#REF!,#REF!,#REF!,#REF!,#REF!),2)+$C48/2&gt;D48)),($F$5/$C$4),0))))</f>
        <v/>
      </c>
      <c r="F48" s="223" t="str">
        <f t="shared" si="8"/>
        <v/>
      </c>
      <c r="G48" s="222" t="str">
        <f>IF($B48="","",IF(F48="","",IF($L$4="Media aritmética",(F48&lt;=$C48)*($F$5/$C$4)+(F48&gt;$C48)*0,IF(AND(ROUND(AVERAGE($D48,$F48,$H48,$J48,$L48,$N48,#REF!,#REF!,#REF!,#REF!,#REF!,#REF!,#REF!,#REF!,#REF!),2)-$C48/2&lt;=F48,(ROUND(AVERAGE($D48,$F48,$H48,$J48,$L48,$N48,#REF!,#REF!,#REF!,#REF!,#REF!,#REF!,#REF!,#REF!,#REF!),2)+$C48/2&gt;F48)),($F$5/$C$4),0))))</f>
        <v/>
      </c>
      <c r="H48" s="223" t="str">
        <f t="shared" si="9"/>
        <v/>
      </c>
      <c r="I48" s="224" t="str">
        <f>IF($B48="","",IF(H48="","",IF($L$4="Media aritmética",(H48&lt;=$C48)*($F$5/$C$4)+(H48&gt;$C48)*0,IF(AND(ROUND(AVERAGE($D48,$F48,$H48,$J48,$L48,$N48,#REF!,#REF!,#REF!,#REF!,#REF!,#REF!,#REF!,#REF!,#REF!),2)-$C48/2&lt;=H48,(ROUND(AVERAGE($D48,$F48,$H48,$J48,$L48,$N48,#REF!,#REF!,#REF!,#REF!,#REF!,#REF!,#REF!,#REF!,#REF!),2)+$C48/2&gt;H48)),($F$5/$C$4),0))))</f>
        <v/>
      </c>
      <c r="J48" s="219"/>
      <c r="K48" s="220"/>
      <c r="L48" s="219"/>
      <c r="M48" s="220"/>
      <c r="N48" s="219"/>
      <c r="O48" s="70"/>
    </row>
    <row r="49" spans="1:15" s="32" customFormat="1" ht="21" hidden="1" customHeight="1">
      <c r="A49" s="214">
        <v>36</v>
      </c>
      <c r="B49" s="221"/>
      <c r="C49" s="215" t="str">
        <f>IF(B49="","",IF($L$4="Media aritmética",ROUND(AVERAGE(D49,F49,H49,J49,L49,N49,#REF!,#REF!,#REF!,#REF!,#REF!,#REF!,#REF!,#REF!,#REF!),2),ROUND(_xlfn.STDEV.P(D49,F49,H49,J49,L49,N49,#REF!,#REF!,#REF!,#REF!,#REF!,#REF!,#REF!,#REF!,#REF!),2)))</f>
        <v/>
      </c>
      <c r="D49" s="216" t="str">
        <f t="shared" si="7"/>
        <v/>
      </c>
      <c r="E49" s="222" t="str">
        <f>IF($B49="","",IF(D49="","",IF($L$4="Media aritmética",(D49&lt;=$C49)*($F$5/$C$4)+(D49&gt;$C49)*0,IF(AND(ROUND(AVERAGE($D49,$F49,$H49,$J49,$L49,$N49,#REF!,#REF!,#REF!,#REF!,#REF!,#REF!,#REF!,#REF!,#REF!),2)-$C49/2&lt;=D49,(ROUND(AVERAGE($D49,$F49,$H49,$J49,$L49,$N49,#REF!,#REF!,#REF!,#REF!,#REF!,#REF!,#REF!,#REF!,#REF!),2)+$C49/2&gt;D49)),($F$5/$C$4),0))))</f>
        <v/>
      </c>
      <c r="F49" s="223" t="str">
        <f t="shared" si="8"/>
        <v/>
      </c>
      <c r="G49" s="222" t="str">
        <f>IF($B49="","",IF(F49="","",IF($L$4="Media aritmética",(F49&lt;=$C49)*($F$5/$C$4)+(F49&gt;$C49)*0,IF(AND(ROUND(AVERAGE($D49,$F49,$H49,$J49,$L49,$N49,#REF!,#REF!,#REF!,#REF!,#REF!,#REF!,#REF!,#REF!,#REF!),2)-$C49/2&lt;=F49,(ROUND(AVERAGE($D49,$F49,$H49,$J49,$L49,$N49,#REF!,#REF!,#REF!,#REF!,#REF!,#REF!,#REF!,#REF!,#REF!),2)+$C49/2&gt;F49)),($F$5/$C$4),0))))</f>
        <v/>
      </c>
      <c r="H49" s="223" t="str">
        <f t="shared" si="9"/>
        <v/>
      </c>
      <c r="I49" s="224" t="str">
        <f>IF($B49="","",IF(H49="","",IF($L$4="Media aritmética",(H49&lt;=$C49)*($F$5/$C$4)+(H49&gt;$C49)*0,IF(AND(ROUND(AVERAGE($D49,$F49,$H49,$J49,$L49,$N49,#REF!,#REF!,#REF!,#REF!,#REF!,#REF!,#REF!,#REF!,#REF!),2)-$C49/2&lt;=H49,(ROUND(AVERAGE($D49,$F49,$H49,$J49,$L49,$N49,#REF!,#REF!,#REF!,#REF!,#REF!,#REF!,#REF!,#REF!,#REF!),2)+$C49/2&gt;H49)),($F$5/$C$4),0))))</f>
        <v/>
      </c>
      <c r="J49" s="219"/>
      <c r="K49" s="220"/>
      <c r="L49" s="219"/>
      <c r="M49" s="220"/>
      <c r="N49" s="219"/>
      <c r="O49" s="70"/>
    </row>
    <row r="50" spans="1:15" s="32" customFormat="1" ht="21" hidden="1" customHeight="1">
      <c r="A50" s="214">
        <v>37</v>
      </c>
      <c r="B50" s="221"/>
      <c r="C50" s="215" t="str">
        <f>IF(B50="","",IF($L$4="Media aritmética",ROUND(AVERAGE(D50,F50,H50,J50,L50,N50,#REF!,#REF!,#REF!,#REF!,#REF!,#REF!,#REF!,#REF!,#REF!),2),ROUND(_xlfn.STDEV.P(D50,F50,H50,J50,L50,N50,#REF!,#REF!,#REF!,#REF!,#REF!,#REF!,#REF!,#REF!,#REF!),2)))</f>
        <v/>
      </c>
      <c r="D50" s="216" t="str">
        <f t="shared" si="7"/>
        <v/>
      </c>
      <c r="E50" s="222" t="str">
        <f>IF($B50="","",IF(D50="","",IF($L$4="Media aritmética",(D50&lt;=$C50)*($F$5/$C$4)+(D50&gt;$C50)*0,IF(AND(ROUND(AVERAGE($D50,$F50,$H50,$J50,$L50,$N50,#REF!,#REF!,#REF!,#REF!,#REF!,#REF!,#REF!,#REF!,#REF!),2)-$C50/2&lt;=D50,(ROUND(AVERAGE($D50,$F50,$H50,$J50,$L50,$N50,#REF!,#REF!,#REF!,#REF!,#REF!,#REF!,#REF!,#REF!,#REF!),2)+$C50/2&gt;D50)),($F$5/$C$4),0))))</f>
        <v/>
      </c>
      <c r="F50" s="223" t="str">
        <f t="shared" si="8"/>
        <v/>
      </c>
      <c r="G50" s="222" t="str">
        <f>IF($B50="","",IF(F50="","",IF($L$4="Media aritmética",(F50&lt;=$C50)*($F$5/$C$4)+(F50&gt;$C50)*0,IF(AND(ROUND(AVERAGE($D50,$F50,$H50,$J50,$L50,$N50,#REF!,#REF!,#REF!,#REF!,#REF!,#REF!,#REF!,#REF!,#REF!),2)-$C50/2&lt;=F50,(ROUND(AVERAGE($D50,$F50,$H50,$J50,$L50,$N50,#REF!,#REF!,#REF!,#REF!,#REF!,#REF!,#REF!,#REF!,#REF!),2)+$C50/2&gt;F50)),($F$5/$C$4),0))))</f>
        <v/>
      </c>
      <c r="H50" s="223" t="str">
        <f t="shared" si="9"/>
        <v/>
      </c>
      <c r="I50" s="224" t="str">
        <f>IF($B50="","",IF(H50="","",IF($L$4="Media aritmética",(H50&lt;=$C50)*($F$5/$C$4)+(H50&gt;$C50)*0,IF(AND(ROUND(AVERAGE($D50,$F50,$H50,$J50,$L50,$N50,#REF!,#REF!,#REF!,#REF!,#REF!,#REF!,#REF!,#REF!,#REF!),2)-$C50/2&lt;=H50,(ROUND(AVERAGE($D50,$F50,$H50,$J50,$L50,$N50,#REF!,#REF!,#REF!,#REF!,#REF!,#REF!,#REF!,#REF!,#REF!),2)+$C50/2&gt;H50)),($F$5/$C$4),0))))</f>
        <v/>
      </c>
      <c r="J50" s="219"/>
      <c r="K50" s="220"/>
      <c r="L50" s="219"/>
      <c r="M50" s="220"/>
      <c r="N50" s="219"/>
      <c r="O50" s="70"/>
    </row>
    <row r="51" spans="1:15" s="32" customFormat="1" ht="21" hidden="1" customHeight="1">
      <c r="A51" s="214">
        <v>38</v>
      </c>
      <c r="B51" s="221"/>
      <c r="C51" s="215" t="str">
        <f>IF(B51="","",IF($L$4="Media aritmética",ROUND(AVERAGE(D51,F51,H51,J51,L51,N51,#REF!,#REF!,#REF!,#REF!,#REF!,#REF!,#REF!,#REF!,#REF!),2),ROUND(_xlfn.STDEV.P(D51,F51,H51,J51,L51,N51,#REF!,#REF!,#REF!,#REF!,#REF!,#REF!,#REF!,#REF!,#REF!),2)))</f>
        <v/>
      </c>
      <c r="D51" s="216" t="str">
        <f t="shared" si="7"/>
        <v/>
      </c>
      <c r="E51" s="222" t="str">
        <f>IF($B51="","",IF(D51="","",IF($L$4="Media aritmética",(D51&lt;=$C51)*($F$5/$C$4)+(D51&gt;$C51)*0,IF(AND(ROUND(AVERAGE($D51,$F51,$H51,$J51,$L51,$N51,#REF!,#REF!,#REF!,#REF!,#REF!,#REF!,#REF!,#REF!,#REF!),2)-$C51/2&lt;=D51,(ROUND(AVERAGE($D51,$F51,$H51,$J51,$L51,$N51,#REF!,#REF!,#REF!,#REF!,#REF!,#REF!,#REF!,#REF!,#REF!),2)+$C51/2&gt;D51)),($F$5/$C$4),0))))</f>
        <v/>
      </c>
      <c r="F51" s="223" t="str">
        <f t="shared" si="8"/>
        <v/>
      </c>
      <c r="G51" s="222" t="str">
        <f>IF($B51="","",IF(F51="","",IF($L$4="Media aritmética",(F51&lt;=$C51)*($F$5/$C$4)+(F51&gt;$C51)*0,IF(AND(ROUND(AVERAGE($D51,$F51,$H51,$J51,$L51,$N51,#REF!,#REF!,#REF!,#REF!,#REF!,#REF!,#REF!,#REF!,#REF!),2)-$C51/2&lt;=F51,(ROUND(AVERAGE($D51,$F51,$H51,$J51,$L51,$N51,#REF!,#REF!,#REF!,#REF!,#REF!,#REF!,#REF!,#REF!,#REF!),2)+$C51/2&gt;F51)),($F$5/$C$4),0))))</f>
        <v/>
      </c>
      <c r="H51" s="223" t="str">
        <f t="shared" si="9"/>
        <v/>
      </c>
      <c r="I51" s="224" t="str">
        <f>IF($B51="","",IF(H51="","",IF($L$4="Media aritmética",(H51&lt;=$C51)*($F$5/$C$4)+(H51&gt;$C51)*0,IF(AND(ROUND(AVERAGE($D51,$F51,$H51,$J51,$L51,$N51,#REF!,#REF!,#REF!,#REF!,#REF!,#REF!,#REF!,#REF!,#REF!),2)-$C51/2&lt;=H51,(ROUND(AVERAGE($D51,$F51,$H51,$J51,$L51,$N51,#REF!,#REF!,#REF!,#REF!,#REF!,#REF!,#REF!,#REF!,#REF!),2)+$C51/2&gt;H51)),($F$5/$C$4),0))))</f>
        <v/>
      </c>
      <c r="J51" s="219"/>
      <c r="K51" s="220"/>
      <c r="L51" s="219"/>
      <c r="M51" s="220"/>
      <c r="N51" s="219"/>
      <c r="O51" s="70"/>
    </row>
    <row r="52" spans="1:15" s="32" customFormat="1" ht="21" hidden="1" customHeight="1">
      <c r="A52" s="214">
        <v>39</v>
      </c>
      <c r="B52" s="221"/>
      <c r="C52" s="215" t="str">
        <f>IF(B52="","",IF($L$4="Media aritmética",ROUND(AVERAGE(D52,F52,H52,J52,L52,N52,#REF!,#REF!,#REF!,#REF!,#REF!,#REF!,#REF!,#REF!,#REF!),2),ROUND(_xlfn.STDEV.P(D52,F52,H52,J52,L52,N52,#REF!,#REF!,#REF!,#REF!,#REF!,#REF!,#REF!,#REF!,#REF!),2)))</f>
        <v/>
      </c>
      <c r="D52" s="216" t="str">
        <f t="shared" si="7"/>
        <v/>
      </c>
      <c r="E52" s="222" t="str">
        <f>IF($B52="","",IF(D52="","",IF($L$4="Media aritmética",(D52&lt;=$C52)*($F$5/$C$4)+(D52&gt;$C52)*0,IF(AND(ROUND(AVERAGE($D52,$F52,$H52,$J52,$L52,$N52,#REF!,#REF!,#REF!,#REF!,#REF!,#REF!,#REF!,#REF!,#REF!),2)-$C52/2&lt;=D52,(ROUND(AVERAGE($D52,$F52,$H52,$J52,$L52,$N52,#REF!,#REF!,#REF!,#REF!,#REF!,#REF!,#REF!,#REF!,#REF!),2)+$C52/2&gt;D52)),($F$5/$C$4),0))))</f>
        <v/>
      </c>
      <c r="F52" s="223" t="str">
        <f t="shared" si="8"/>
        <v/>
      </c>
      <c r="G52" s="222" t="str">
        <f>IF($B52="","",IF(F52="","",IF($L$4="Media aritmética",(F52&lt;=$C52)*($F$5/$C$4)+(F52&gt;$C52)*0,IF(AND(ROUND(AVERAGE($D52,$F52,$H52,$J52,$L52,$N52,#REF!,#REF!,#REF!,#REF!,#REF!,#REF!,#REF!,#REF!,#REF!),2)-$C52/2&lt;=F52,(ROUND(AVERAGE($D52,$F52,$H52,$J52,$L52,$N52,#REF!,#REF!,#REF!,#REF!,#REF!,#REF!,#REF!,#REF!,#REF!),2)+$C52/2&gt;F52)),($F$5/$C$4),0))))</f>
        <v/>
      </c>
      <c r="H52" s="223" t="str">
        <f t="shared" si="9"/>
        <v/>
      </c>
      <c r="I52" s="224" t="str">
        <f>IF($B52="","",IF(H52="","",IF($L$4="Media aritmética",(H52&lt;=$C52)*($F$5/$C$4)+(H52&gt;$C52)*0,IF(AND(ROUND(AVERAGE($D52,$F52,$H52,$J52,$L52,$N52,#REF!,#REF!,#REF!,#REF!,#REF!,#REF!,#REF!,#REF!,#REF!),2)-$C52/2&lt;=H52,(ROUND(AVERAGE($D52,$F52,$H52,$J52,$L52,$N52,#REF!,#REF!,#REF!,#REF!,#REF!,#REF!,#REF!,#REF!,#REF!),2)+$C52/2&gt;H52)),($F$5/$C$4),0))))</f>
        <v/>
      </c>
      <c r="J52" s="219"/>
      <c r="K52" s="220"/>
      <c r="L52" s="219"/>
      <c r="M52" s="220"/>
      <c r="N52" s="219"/>
      <c r="O52" s="70"/>
    </row>
    <row r="53" spans="1:15" s="32" customFormat="1" ht="21" hidden="1" customHeight="1">
      <c r="A53" s="214">
        <v>40</v>
      </c>
      <c r="B53" s="221"/>
      <c r="C53" s="215" t="str">
        <f>IF(B53="","",IF($L$4="Media aritmética",ROUND(AVERAGE(D53,F53,H53,J53,L53,N53,#REF!,#REF!,#REF!,#REF!,#REF!,#REF!,#REF!,#REF!,#REF!),2),ROUND(_xlfn.STDEV.P(D53,F53,H53,J53,L53,N53,#REF!,#REF!,#REF!,#REF!,#REF!,#REF!,#REF!,#REF!,#REF!),2)))</f>
        <v/>
      </c>
      <c r="D53" s="216" t="str">
        <f t="shared" si="7"/>
        <v/>
      </c>
      <c r="E53" s="222" t="str">
        <f>IF($B53="","",IF(D53="","",IF($L$4="Media aritmética",(D53&lt;=$C53)*($F$5/$C$4)+(D53&gt;$C53)*0,IF(AND(ROUND(AVERAGE($D53,$F53,$H53,$J53,$L53,$N53,#REF!,#REF!,#REF!,#REF!,#REF!,#REF!,#REF!,#REF!,#REF!),2)-$C53/2&lt;=D53,(ROUND(AVERAGE($D53,$F53,$H53,$J53,$L53,$N53,#REF!,#REF!,#REF!,#REF!,#REF!,#REF!,#REF!,#REF!,#REF!),2)+$C53/2&gt;D53)),($F$5/$C$4),0))))</f>
        <v/>
      </c>
      <c r="F53" s="223" t="str">
        <f t="shared" si="8"/>
        <v/>
      </c>
      <c r="G53" s="222" t="str">
        <f>IF($B53="","",IF(F53="","",IF($L$4="Media aritmética",(F53&lt;=$C53)*($F$5/$C$4)+(F53&gt;$C53)*0,IF(AND(ROUND(AVERAGE($D53,$F53,$H53,$J53,$L53,$N53,#REF!,#REF!,#REF!,#REF!,#REF!,#REF!,#REF!,#REF!,#REF!),2)-$C53/2&lt;=F53,(ROUND(AVERAGE($D53,$F53,$H53,$J53,$L53,$N53,#REF!,#REF!,#REF!,#REF!,#REF!,#REF!,#REF!,#REF!,#REF!),2)+$C53/2&gt;F53)),($F$5/$C$4),0))))</f>
        <v/>
      </c>
      <c r="H53" s="223" t="str">
        <f t="shared" si="9"/>
        <v/>
      </c>
      <c r="I53" s="224" t="str">
        <f>IF($B53="","",IF(H53="","",IF($L$4="Media aritmética",(H53&lt;=$C53)*($F$5/$C$4)+(H53&gt;$C53)*0,IF(AND(ROUND(AVERAGE($D53,$F53,$H53,$J53,$L53,$N53,#REF!,#REF!,#REF!,#REF!,#REF!,#REF!,#REF!,#REF!,#REF!),2)-$C53/2&lt;=H53,(ROUND(AVERAGE($D53,$F53,$H53,$J53,$L53,$N53,#REF!,#REF!,#REF!,#REF!,#REF!,#REF!,#REF!,#REF!,#REF!),2)+$C53/2&gt;H53)),($F$5/$C$4),0))))</f>
        <v/>
      </c>
      <c r="J53" s="219"/>
      <c r="K53" s="220"/>
      <c r="L53" s="219"/>
      <c r="M53" s="220"/>
      <c r="N53" s="219"/>
      <c r="O53" s="70"/>
    </row>
    <row r="54" spans="1:15" s="32" customFormat="1" ht="21" hidden="1" customHeight="1">
      <c r="A54" s="214">
        <v>41</v>
      </c>
      <c r="B54" s="221"/>
      <c r="C54" s="215" t="str">
        <f>IF(B54="","",IF($L$4="Media aritmética",ROUND(AVERAGE(D54,F54,H54,J54,L54,N54,#REF!,#REF!,#REF!,#REF!,#REF!,#REF!,#REF!,#REF!,#REF!),2),ROUND(_xlfn.STDEV.P(D54,F54,H54,J54,L54,N54,#REF!,#REF!,#REF!,#REF!,#REF!,#REF!,#REF!,#REF!,#REF!),2)))</f>
        <v/>
      </c>
      <c r="D54" s="216" t="str">
        <f t="shared" si="7"/>
        <v/>
      </c>
      <c r="E54" s="222" t="str">
        <f>IF($B54="","",IF(D54="","",IF($L$4="Media aritmética",(D54&lt;=$C54)*($F$5/$C$4)+(D54&gt;$C54)*0,IF(AND(ROUND(AVERAGE($D54,$F54,$H54,$J54,$L54,$N54,#REF!,#REF!,#REF!,#REF!,#REF!,#REF!,#REF!,#REF!,#REF!),2)-$C54/2&lt;=D54,(ROUND(AVERAGE($D54,$F54,$H54,$J54,$L54,$N54,#REF!,#REF!,#REF!,#REF!,#REF!,#REF!,#REF!,#REF!,#REF!),2)+$C54/2&gt;D54)),($F$5/$C$4),0))))</f>
        <v/>
      </c>
      <c r="F54" s="223" t="str">
        <f t="shared" si="8"/>
        <v/>
      </c>
      <c r="G54" s="222" t="str">
        <f>IF($B54="","",IF(F54="","",IF($L$4="Media aritmética",(F54&lt;=$C54)*($F$5/$C$4)+(F54&gt;$C54)*0,IF(AND(ROUND(AVERAGE($D54,$F54,$H54,$J54,$L54,$N54,#REF!,#REF!,#REF!,#REF!,#REF!,#REF!,#REF!,#REF!,#REF!),2)-$C54/2&lt;=F54,(ROUND(AVERAGE($D54,$F54,$H54,$J54,$L54,$N54,#REF!,#REF!,#REF!,#REF!,#REF!,#REF!,#REF!,#REF!,#REF!),2)+$C54/2&gt;F54)),($F$5/$C$4),0))))</f>
        <v/>
      </c>
      <c r="H54" s="223" t="str">
        <f t="shared" si="9"/>
        <v/>
      </c>
      <c r="I54" s="224" t="str">
        <f>IF($B54="","",IF(H54="","",IF($L$4="Media aritmética",(H54&lt;=$C54)*($F$5/$C$4)+(H54&gt;$C54)*0,IF(AND(ROUND(AVERAGE($D54,$F54,$H54,$J54,$L54,$N54,#REF!,#REF!,#REF!,#REF!,#REF!,#REF!,#REF!,#REF!,#REF!),2)-$C54/2&lt;=H54,(ROUND(AVERAGE($D54,$F54,$H54,$J54,$L54,$N54,#REF!,#REF!,#REF!,#REF!,#REF!,#REF!,#REF!,#REF!,#REF!),2)+$C54/2&gt;H54)),($F$5/$C$4),0))))</f>
        <v/>
      </c>
      <c r="J54" s="219"/>
      <c r="K54" s="220"/>
      <c r="L54" s="219"/>
      <c r="M54" s="220"/>
      <c r="N54" s="219"/>
      <c r="O54" s="70"/>
    </row>
    <row r="55" spans="1:15" s="32" customFormat="1" ht="21" hidden="1" customHeight="1">
      <c r="A55" s="214">
        <v>42</v>
      </c>
      <c r="B55" s="221"/>
      <c r="C55" s="215" t="str">
        <f>IF(B55="","",IF($L$4="Media aritmética",ROUND(AVERAGE(D55,F55,H55,J55,L55,N55,#REF!,#REF!,#REF!,#REF!,#REF!,#REF!,#REF!,#REF!,#REF!),2),ROUND(_xlfn.STDEV.P(D55,F55,H55,J55,L55,N55,#REF!,#REF!,#REF!,#REF!,#REF!,#REF!,#REF!,#REF!,#REF!),2)))</f>
        <v/>
      </c>
      <c r="D55" s="216" t="str">
        <f t="shared" si="7"/>
        <v/>
      </c>
      <c r="E55" s="222" t="str">
        <f>IF($B55="","",IF(D55="","",IF($L$4="Media aritmética",(D55&lt;=$C55)*($F$5/$C$4)+(D55&gt;$C55)*0,IF(AND(ROUND(AVERAGE($D55,$F55,$H55,$J55,$L55,$N55,#REF!,#REF!,#REF!,#REF!,#REF!,#REF!,#REF!,#REF!,#REF!),2)-$C55/2&lt;=D55,(ROUND(AVERAGE($D55,$F55,$H55,$J55,$L55,$N55,#REF!,#REF!,#REF!,#REF!,#REF!,#REF!,#REF!,#REF!,#REF!),2)+$C55/2&gt;D55)),($F$5/$C$4),0))))</f>
        <v/>
      </c>
      <c r="F55" s="223" t="str">
        <f t="shared" si="8"/>
        <v/>
      </c>
      <c r="G55" s="222" t="str">
        <f>IF($B55="","",IF(F55="","",IF($L$4="Media aritmética",(F55&lt;=$C55)*($F$5/$C$4)+(F55&gt;$C55)*0,IF(AND(ROUND(AVERAGE($D55,$F55,$H55,$J55,$L55,$N55,#REF!,#REF!,#REF!,#REF!,#REF!,#REF!,#REF!,#REF!,#REF!),2)-$C55/2&lt;=F55,(ROUND(AVERAGE($D55,$F55,$H55,$J55,$L55,$N55,#REF!,#REF!,#REF!,#REF!,#REF!,#REF!,#REF!,#REF!,#REF!),2)+$C55/2&gt;F55)),($F$5/$C$4),0))))</f>
        <v/>
      </c>
      <c r="H55" s="223" t="str">
        <f t="shared" si="9"/>
        <v/>
      </c>
      <c r="I55" s="224" t="str">
        <f>IF($B55="","",IF(H55="","",IF($L$4="Media aritmética",(H55&lt;=$C55)*($F$5/$C$4)+(H55&gt;$C55)*0,IF(AND(ROUND(AVERAGE($D55,$F55,$H55,$J55,$L55,$N55,#REF!,#REF!,#REF!,#REF!,#REF!,#REF!,#REF!,#REF!,#REF!),2)-$C55/2&lt;=H55,(ROUND(AVERAGE($D55,$F55,$H55,$J55,$L55,$N55,#REF!,#REF!,#REF!,#REF!,#REF!,#REF!,#REF!,#REF!,#REF!),2)+$C55/2&gt;H55)),($F$5/$C$4),0))))</f>
        <v/>
      </c>
      <c r="J55" s="219"/>
      <c r="K55" s="220"/>
      <c r="L55" s="219"/>
      <c r="M55" s="220"/>
      <c r="N55" s="219"/>
      <c r="O55" s="70"/>
    </row>
    <row r="56" spans="1:15" s="32" customFormat="1" ht="21" hidden="1" customHeight="1">
      <c r="A56" s="214">
        <v>43</v>
      </c>
      <c r="B56" s="221"/>
      <c r="C56" s="215" t="str">
        <f>IF(B56="","",IF($L$4="Media aritmética",ROUND(AVERAGE(D56,F56,H56,J56,L56,N56,#REF!,#REF!,#REF!,#REF!,#REF!,#REF!,#REF!,#REF!,#REF!),2),ROUND(_xlfn.STDEV.P(D56,F56,H56,J56,L56,N56,#REF!,#REF!,#REF!,#REF!,#REF!,#REF!,#REF!,#REF!,#REF!),2)))</f>
        <v/>
      </c>
      <c r="D56" s="216" t="str">
        <f t="shared" si="7"/>
        <v/>
      </c>
      <c r="E56" s="222" t="str">
        <f>IF($B56="","",IF(D56="","",IF($L$4="Media aritmética",(D56&lt;=$C56)*($F$5/$C$4)+(D56&gt;$C56)*0,IF(AND(ROUND(AVERAGE($D56,$F56,$H56,$J56,$L56,$N56,#REF!,#REF!,#REF!,#REF!,#REF!,#REF!,#REF!,#REF!,#REF!),2)-$C56/2&lt;=D56,(ROUND(AVERAGE($D56,$F56,$H56,$J56,$L56,$N56,#REF!,#REF!,#REF!,#REF!,#REF!,#REF!,#REF!,#REF!,#REF!),2)+$C56/2&gt;D56)),($F$5/$C$4),0))))</f>
        <v/>
      </c>
      <c r="F56" s="223" t="str">
        <f t="shared" si="8"/>
        <v/>
      </c>
      <c r="G56" s="222" t="str">
        <f>IF($B56="","",IF(F56="","",IF($L$4="Media aritmética",(F56&lt;=$C56)*($F$5/$C$4)+(F56&gt;$C56)*0,IF(AND(ROUND(AVERAGE($D56,$F56,$H56,$J56,$L56,$N56,#REF!,#REF!,#REF!,#REF!,#REF!,#REF!,#REF!,#REF!,#REF!),2)-$C56/2&lt;=F56,(ROUND(AVERAGE($D56,$F56,$H56,$J56,$L56,$N56,#REF!,#REF!,#REF!,#REF!,#REF!,#REF!,#REF!,#REF!,#REF!),2)+$C56/2&gt;F56)),($F$5/$C$4),0))))</f>
        <v/>
      </c>
      <c r="H56" s="223" t="str">
        <f t="shared" si="9"/>
        <v/>
      </c>
      <c r="I56" s="224" t="str">
        <f>IF($B56="","",IF(H56="","",IF($L$4="Media aritmética",(H56&lt;=$C56)*($F$5/$C$4)+(H56&gt;$C56)*0,IF(AND(ROUND(AVERAGE($D56,$F56,$H56,$J56,$L56,$N56,#REF!,#REF!,#REF!,#REF!,#REF!,#REF!,#REF!,#REF!,#REF!),2)-$C56/2&lt;=H56,(ROUND(AVERAGE($D56,$F56,$H56,$J56,$L56,$N56,#REF!,#REF!,#REF!,#REF!,#REF!,#REF!,#REF!,#REF!,#REF!),2)+$C56/2&gt;H56)),($F$5/$C$4),0))))</f>
        <v/>
      </c>
      <c r="J56" s="219"/>
      <c r="K56" s="220"/>
      <c r="L56" s="219"/>
      <c r="M56" s="220"/>
      <c r="N56" s="219"/>
      <c r="O56" s="70"/>
    </row>
    <row r="57" spans="1:15" s="32" customFormat="1" ht="21" hidden="1" customHeight="1">
      <c r="A57" s="214">
        <v>44</v>
      </c>
      <c r="B57" s="221"/>
      <c r="C57" s="215" t="str">
        <f>IF(B57="","",IF($L$4="Media aritmética",ROUND(AVERAGE(D57,F57,H57,J57,L57,N57,#REF!,#REF!,#REF!,#REF!,#REF!,#REF!,#REF!,#REF!,#REF!),2),ROUND(_xlfn.STDEV.P(D57,F57,H57,J57,L57,N57,#REF!,#REF!,#REF!,#REF!,#REF!,#REF!,#REF!,#REF!,#REF!),2)))</f>
        <v/>
      </c>
      <c r="D57" s="216" t="str">
        <f t="shared" si="7"/>
        <v/>
      </c>
      <c r="E57" s="222" t="str">
        <f>IF($B57="","",IF(D57="","",IF($L$4="Media aritmética",(D57&lt;=$C57)*($F$5/$C$4)+(D57&gt;$C57)*0,IF(AND(ROUND(AVERAGE($D57,$F57,$H57,$J57,$L57,$N57,#REF!,#REF!,#REF!,#REF!,#REF!,#REF!,#REF!,#REF!,#REF!),2)-$C57/2&lt;=D57,(ROUND(AVERAGE($D57,$F57,$H57,$J57,$L57,$N57,#REF!,#REF!,#REF!,#REF!,#REF!,#REF!,#REF!,#REF!,#REF!),2)+$C57/2&gt;D57)),($F$5/$C$4),0))))</f>
        <v/>
      </c>
      <c r="F57" s="223" t="str">
        <f t="shared" si="8"/>
        <v/>
      </c>
      <c r="G57" s="222" t="str">
        <f>IF($B57="","",IF(F57="","",IF($L$4="Media aritmética",(F57&lt;=$C57)*($F$5/$C$4)+(F57&gt;$C57)*0,IF(AND(ROUND(AVERAGE($D57,$F57,$H57,$J57,$L57,$N57,#REF!,#REF!,#REF!,#REF!,#REF!,#REF!,#REF!,#REF!,#REF!),2)-$C57/2&lt;=F57,(ROUND(AVERAGE($D57,$F57,$H57,$J57,$L57,$N57,#REF!,#REF!,#REF!,#REF!,#REF!,#REF!,#REF!,#REF!,#REF!),2)+$C57/2&gt;F57)),($F$5/$C$4),0))))</f>
        <v/>
      </c>
      <c r="H57" s="223" t="str">
        <f t="shared" si="9"/>
        <v/>
      </c>
      <c r="I57" s="224" t="str">
        <f>IF($B57="","",IF(H57="","",IF($L$4="Media aritmética",(H57&lt;=$C57)*($F$5/$C$4)+(H57&gt;$C57)*0,IF(AND(ROUND(AVERAGE($D57,$F57,$H57,$J57,$L57,$N57,#REF!,#REF!,#REF!,#REF!,#REF!,#REF!,#REF!,#REF!,#REF!),2)-$C57/2&lt;=H57,(ROUND(AVERAGE($D57,$F57,$H57,$J57,$L57,$N57,#REF!,#REF!,#REF!,#REF!,#REF!,#REF!,#REF!,#REF!,#REF!),2)+$C57/2&gt;H57)),($F$5/$C$4),0))))</f>
        <v/>
      </c>
      <c r="J57" s="219"/>
      <c r="K57" s="220"/>
      <c r="L57" s="219"/>
      <c r="M57" s="220"/>
      <c r="N57" s="219"/>
      <c r="O57" s="70"/>
    </row>
    <row r="58" spans="1:15" s="32" customFormat="1" ht="21" hidden="1" customHeight="1">
      <c r="A58" s="214">
        <v>45</v>
      </c>
      <c r="B58" s="221"/>
      <c r="C58" s="215" t="str">
        <f>IF(B58="","",IF($L$4="Media aritmética",ROUND(AVERAGE(D58,F58,H58,J58,L58,N58,#REF!,#REF!,#REF!,#REF!,#REF!,#REF!,#REF!,#REF!,#REF!),2),ROUND(_xlfn.STDEV.P(D58,F58,H58,J58,L58,N58,#REF!,#REF!,#REF!,#REF!,#REF!,#REF!,#REF!,#REF!,#REF!),2)))</f>
        <v/>
      </c>
      <c r="D58" s="216" t="str">
        <f t="shared" si="7"/>
        <v/>
      </c>
      <c r="E58" s="222" t="str">
        <f>IF($B58="","",IF(D58="","",IF($L$4="Media aritmética",(D58&lt;=$C58)*($F$5/$C$4)+(D58&gt;$C58)*0,IF(AND(ROUND(AVERAGE($D58,$F58,$H58,$J58,$L58,$N58,#REF!,#REF!,#REF!,#REF!,#REF!,#REF!,#REF!,#REF!,#REF!),2)-$C58/2&lt;=D58,(ROUND(AVERAGE($D58,$F58,$H58,$J58,$L58,$N58,#REF!,#REF!,#REF!,#REF!,#REF!,#REF!,#REF!,#REF!,#REF!),2)+$C58/2&gt;D58)),($F$5/$C$4),0))))</f>
        <v/>
      </c>
      <c r="F58" s="223" t="str">
        <f t="shared" si="8"/>
        <v/>
      </c>
      <c r="G58" s="222" t="str">
        <f>IF($B58="","",IF(F58="","",IF($L$4="Media aritmética",(F58&lt;=$C58)*($F$5/$C$4)+(F58&gt;$C58)*0,IF(AND(ROUND(AVERAGE($D58,$F58,$H58,$J58,$L58,$N58,#REF!,#REF!,#REF!,#REF!,#REF!,#REF!,#REF!,#REF!,#REF!),2)-$C58/2&lt;=F58,(ROUND(AVERAGE($D58,$F58,$H58,$J58,$L58,$N58,#REF!,#REF!,#REF!,#REF!,#REF!,#REF!,#REF!,#REF!,#REF!),2)+$C58/2&gt;F58)),($F$5/$C$4),0))))</f>
        <v/>
      </c>
      <c r="H58" s="223" t="str">
        <f t="shared" si="9"/>
        <v/>
      </c>
      <c r="I58" s="224" t="str">
        <f>IF($B58="","",IF(H58="","",IF($L$4="Media aritmética",(H58&lt;=$C58)*($F$5/$C$4)+(H58&gt;$C58)*0,IF(AND(ROUND(AVERAGE($D58,$F58,$H58,$J58,$L58,$N58,#REF!,#REF!,#REF!,#REF!,#REF!,#REF!,#REF!,#REF!,#REF!),2)-$C58/2&lt;=H58,(ROUND(AVERAGE($D58,$F58,$H58,$J58,$L58,$N58,#REF!,#REF!,#REF!,#REF!,#REF!,#REF!,#REF!,#REF!,#REF!),2)+$C58/2&gt;H58)),($F$5/$C$4),0))))</f>
        <v/>
      </c>
      <c r="J58" s="219"/>
      <c r="K58" s="220"/>
      <c r="L58" s="219"/>
      <c r="M58" s="220"/>
      <c r="N58" s="219"/>
      <c r="O58" s="70"/>
    </row>
    <row r="59" spans="1:15" s="32" customFormat="1" ht="21" hidden="1" customHeight="1">
      <c r="A59" s="214">
        <v>46</v>
      </c>
      <c r="B59" s="221"/>
      <c r="C59" s="215" t="str">
        <f>IF(B59="","",IF($L$4="Media aritmética",ROUND(AVERAGE(D59,F59,H59,J59,L59,N59,#REF!,#REF!,#REF!,#REF!,#REF!,#REF!,#REF!,#REF!,#REF!),2),ROUND(_xlfn.STDEV.P(D59,F59,H59,J59,L59,N59,#REF!,#REF!,#REF!,#REF!,#REF!,#REF!,#REF!,#REF!,#REF!),2)))</f>
        <v/>
      </c>
      <c r="D59" s="216" t="str">
        <f t="shared" si="7"/>
        <v/>
      </c>
      <c r="E59" s="222" t="str">
        <f>IF($B59="","",IF(D59="","",IF($L$4="Media aritmética",(D59&lt;=$C59)*($F$5/$C$4)+(D59&gt;$C59)*0,IF(AND(ROUND(AVERAGE($D59,$F59,$H59,$J59,$L59,$N59,#REF!,#REF!,#REF!,#REF!,#REF!,#REF!,#REF!,#REF!,#REF!),2)-$C59/2&lt;=D59,(ROUND(AVERAGE($D59,$F59,$H59,$J59,$L59,$N59,#REF!,#REF!,#REF!,#REF!,#REF!,#REF!,#REF!,#REF!,#REF!),2)+$C59/2&gt;D59)),($F$5/$C$4),0))))</f>
        <v/>
      </c>
      <c r="F59" s="223" t="str">
        <f t="shared" si="8"/>
        <v/>
      </c>
      <c r="G59" s="222" t="str">
        <f>IF($B59="","",IF(F59="","",IF($L$4="Media aritmética",(F59&lt;=$C59)*($F$5/$C$4)+(F59&gt;$C59)*0,IF(AND(ROUND(AVERAGE($D59,$F59,$H59,$J59,$L59,$N59,#REF!,#REF!,#REF!,#REF!,#REF!,#REF!,#REF!,#REF!,#REF!),2)-$C59/2&lt;=F59,(ROUND(AVERAGE($D59,$F59,$H59,$J59,$L59,$N59,#REF!,#REF!,#REF!,#REF!,#REF!,#REF!,#REF!,#REF!,#REF!),2)+$C59/2&gt;F59)),($F$5/$C$4),0))))</f>
        <v/>
      </c>
      <c r="H59" s="223" t="str">
        <f t="shared" si="9"/>
        <v/>
      </c>
      <c r="I59" s="224" t="str">
        <f>IF($B59="","",IF(H59="","",IF($L$4="Media aritmética",(H59&lt;=$C59)*($F$5/$C$4)+(H59&gt;$C59)*0,IF(AND(ROUND(AVERAGE($D59,$F59,$H59,$J59,$L59,$N59,#REF!,#REF!,#REF!,#REF!,#REF!,#REF!,#REF!,#REF!,#REF!),2)-$C59/2&lt;=H59,(ROUND(AVERAGE($D59,$F59,$H59,$J59,$L59,$N59,#REF!,#REF!,#REF!,#REF!,#REF!,#REF!,#REF!,#REF!,#REF!),2)+$C59/2&gt;H59)),($F$5/$C$4),0))))</f>
        <v/>
      </c>
      <c r="J59" s="219"/>
      <c r="K59" s="220"/>
      <c r="L59" s="219"/>
      <c r="M59" s="220"/>
      <c r="N59" s="219"/>
      <c r="O59" s="70"/>
    </row>
    <row r="60" spans="1:15" s="32" customFormat="1" ht="21" hidden="1" customHeight="1">
      <c r="A60" s="214">
        <v>47</v>
      </c>
      <c r="B60" s="221"/>
      <c r="C60" s="215" t="str">
        <f>IF(B60="","",IF($L$4="Media aritmética",ROUND(AVERAGE(D60,F60,H60,J60,L60,N60,#REF!,#REF!,#REF!,#REF!,#REF!,#REF!,#REF!,#REF!,#REF!),2),ROUND(_xlfn.STDEV.P(D60,F60,H60,J60,L60,N60,#REF!,#REF!,#REF!,#REF!,#REF!,#REF!,#REF!,#REF!,#REF!),2)))</f>
        <v/>
      </c>
      <c r="D60" s="216" t="str">
        <f t="shared" si="7"/>
        <v/>
      </c>
      <c r="E60" s="222" t="str">
        <f>IF($B60="","",IF(D60="","",IF($L$4="Media aritmética",(D60&lt;=$C60)*($F$5/$C$4)+(D60&gt;$C60)*0,IF(AND(ROUND(AVERAGE($D60,$F60,$H60,$J60,$L60,$N60,#REF!,#REF!,#REF!,#REF!,#REF!,#REF!,#REF!,#REF!,#REF!),2)-$C60/2&lt;=D60,(ROUND(AVERAGE($D60,$F60,$H60,$J60,$L60,$N60,#REF!,#REF!,#REF!,#REF!,#REF!,#REF!,#REF!,#REF!,#REF!),2)+$C60/2&gt;D60)),($F$5/$C$4),0))))</f>
        <v/>
      </c>
      <c r="F60" s="223" t="str">
        <f t="shared" si="8"/>
        <v/>
      </c>
      <c r="G60" s="222" t="str">
        <f>IF($B60="","",IF(F60="","",IF($L$4="Media aritmética",(F60&lt;=$C60)*($F$5/$C$4)+(F60&gt;$C60)*0,IF(AND(ROUND(AVERAGE($D60,$F60,$H60,$J60,$L60,$N60,#REF!,#REF!,#REF!,#REF!,#REF!,#REF!,#REF!,#REF!,#REF!),2)-$C60/2&lt;=F60,(ROUND(AVERAGE($D60,$F60,$H60,$J60,$L60,$N60,#REF!,#REF!,#REF!,#REF!,#REF!,#REF!,#REF!,#REF!,#REF!),2)+$C60/2&gt;F60)),($F$5/$C$4),0))))</f>
        <v/>
      </c>
      <c r="H60" s="223" t="str">
        <f t="shared" si="9"/>
        <v/>
      </c>
      <c r="I60" s="224" t="str">
        <f>IF($B60="","",IF(H60="","",IF($L$4="Media aritmética",(H60&lt;=$C60)*($F$5/$C$4)+(H60&gt;$C60)*0,IF(AND(ROUND(AVERAGE($D60,$F60,$H60,$J60,$L60,$N60,#REF!,#REF!,#REF!,#REF!,#REF!,#REF!,#REF!,#REF!,#REF!),2)-$C60/2&lt;=H60,(ROUND(AVERAGE($D60,$F60,$H60,$J60,$L60,$N60,#REF!,#REF!,#REF!,#REF!,#REF!,#REF!,#REF!,#REF!,#REF!),2)+$C60/2&gt;H60)),($F$5/$C$4),0))))</f>
        <v/>
      </c>
      <c r="J60" s="219"/>
      <c r="K60" s="220"/>
      <c r="L60" s="219"/>
      <c r="M60" s="220"/>
      <c r="N60" s="219"/>
      <c r="O60" s="70"/>
    </row>
    <row r="61" spans="1:15" s="32" customFormat="1" ht="21" hidden="1" customHeight="1">
      <c r="A61" s="214">
        <v>48</v>
      </c>
      <c r="B61" s="221"/>
      <c r="C61" s="215" t="str">
        <f>IF(B61="","",IF($L$4="Media aritmética",ROUND(AVERAGE(D61,F61,H61,J61,L61,N61,#REF!,#REF!,#REF!,#REF!,#REF!,#REF!,#REF!,#REF!,#REF!),2),ROUND(_xlfn.STDEV.P(D61,F61,H61,J61,L61,N61,#REF!,#REF!,#REF!,#REF!,#REF!,#REF!,#REF!,#REF!,#REF!),2)))</f>
        <v/>
      </c>
      <c r="D61" s="216" t="str">
        <f t="shared" si="7"/>
        <v/>
      </c>
      <c r="E61" s="222" t="str">
        <f>IF($B61="","",IF(D61="","",IF($L$4="Media aritmética",(D61&lt;=$C61)*($F$5/$C$4)+(D61&gt;$C61)*0,IF(AND(ROUND(AVERAGE($D61,$F61,$H61,$J61,$L61,$N61,#REF!,#REF!,#REF!,#REF!,#REF!,#REF!,#REF!,#REF!,#REF!),2)-$C61/2&lt;=D61,(ROUND(AVERAGE($D61,$F61,$H61,$J61,$L61,$N61,#REF!,#REF!,#REF!,#REF!,#REF!,#REF!,#REF!,#REF!,#REF!),2)+$C61/2&gt;D61)),($F$5/$C$4),0))))</f>
        <v/>
      </c>
      <c r="F61" s="223" t="str">
        <f t="shared" si="8"/>
        <v/>
      </c>
      <c r="G61" s="222" t="str">
        <f>IF($B61="","",IF(F61="","",IF($L$4="Media aritmética",(F61&lt;=$C61)*($F$5/$C$4)+(F61&gt;$C61)*0,IF(AND(ROUND(AVERAGE($D61,$F61,$H61,$J61,$L61,$N61,#REF!,#REF!,#REF!,#REF!,#REF!,#REF!,#REF!,#REF!,#REF!),2)-$C61/2&lt;=F61,(ROUND(AVERAGE($D61,$F61,$H61,$J61,$L61,$N61,#REF!,#REF!,#REF!,#REF!,#REF!,#REF!,#REF!,#REF!,#REF!),2)+$C61/2&gt;F61)),($F$5/$C$4),0))))</f>
        <v/>
      </c>
      <c r="H61" s="223" t="str">
        <f t="shared" si="9"/>
        <v/>
      </c>
      <c r="I61" s="224" t="str">
        <f>IF($B61="","",IF(H61="","",IF($L$4="Media aritmética",(H61&lt;=$C61)*($F$5/$C$4)+(H61&gt;$C61)*0,IF(AND(ROUND(AVERAGE($D61,$F61,$H61,$J61,$L61,$N61,#REF!,#REF!,#REF!,#REF!,#REF!,#REF!,#REF!,#REF!,#REF!),2)-$C61/2&lt;=H61,(ROUND(AVERAGE($D61,$F61,$H61,$J61,$L61,$N61,#REF!,#REF!,#REF!,#REF!,#REF!,#REF!,#REF!,#REF!,#REF!),2)+$C61/2&gt;H61)),($F$5/$C$4),0))))</f>
        <v/>
      </c>
      <c r="J61" s="219"/>
      <c r="K61" s="220"/>
      <c r="L61" s="219"/>
      <c r="M61" s="220"/>
      <c r="N61" s="219"/>
      <c r="O61" s="70"/>
    </row>
    <row r="62" spans="1:15" s="32" customFormat="1" ht="21" hidden="1" customHeight="1">
      <c r="A62" s="214">
        <v>49</v>
      </c>
      <c r="B62" s="221"/>
      <c r="C62" s="215" t="str">
        <f>IF(B62="","",IF($L$4="Media aritmética",ROUND(AVERAGE(D62,F62,H62,J62,L62,N62,#REF!,#REF!,#REF!,#REF!,#REF!,#REF!,#REF!,#REF!,#REF!),2),ROUND(_xlfn.STDEV.P(D62,F62,H62,J62,L62,N62,#REF!,#REF!,#REF!,#REF!,#REF!,#REF!,#REF!,#REF!,#REF!),2)))</f>
        <v/>
      </c>
      <c r="D62" s="216" t="str">
        <f t="shared" si="7"/>
        <v/>
      </c>
      <c r="E62" s="222" t="str">
        <f>IF($B62="","",IF(D62="","",IF($L$4="Media aritmética",(D62&lt;=$C62)*($F$5/$C$4)+(D62&gt;$C62)*0,IF(AND(ROUND(AVERAGE($D62,$F62,$H62,$J62,$L62,$N62,#REF!,#REF!,#REF!,#REF!,#REF!,#REF!,#REF!,#REF!,#REF!),2)-$C62/2&lt;=D62,(ROUND(AVERAGE($D62,$F62,$H62,$J62,$L62,$N62,#REF!,#REF!,#REF!,#REF!,#REF!,#REF!,#REF!,#REF!,#REF!),2)+$C62/2&gt;D62)),($F$5/$C$4),0))))</f>
        <v/>
      </c>
      <c r="F62" s="223" t="str">
        <f t="shared" si="8"/>
        <v/>
      </c>
      <c r="G62" s="222" t="str">
        <f>IF($B62="","",IF(F62="","",IF($L$4="Media aritmética",(F62&lt;=$C62)*($F$5/$C$4)+(F62&gt;$C62)*0,IF(AND(ROUND(AVERAGE($D62,$F62,$H62,$J62,$L62,$N62,#REF!,#REF!,#REF!,#REF!,#REF!,#REF!,#REF!,#REF!,#REF!),2)-$C62/2&lt;=F62,(ROUND(AVERAGE($D62,$F62,$H62,$J62,$L62,$N62,#REF!,#REF!,#REF!,#REF!,#REF!,#REF!,#REF!,#REF!,#REF!),2)+$C62/2&gt;F62)),($F$5/$C$4),0))))</f>
        <v/>
      </c>
      <c r="H62" s="223" t="str">
        <f t="shared" si="9"/>
        <v/>
      </c>
      <c r="I62" s="224" t="str">
        <f>IF($B62="","",IF(H62="","",IF($L$4="Media aritmética",(H62&lt;=$C62)*($F$5/$C$4)+(H62&gt;$C62)*0,IF(AND(ROUND(AVERAGE($D62,$F62,$H62,$J62,$L62,$N62,#REF!,#REF!,#REF!,#REF!,#REF!,#REF!,#REF!,#REF!,#REF!),2)-$C62/2&lt;=H62,(ROUND(AVERAGE($D62,$F62,$H62,$J62,$L62,$N62,#REF!,#REF!,#REF!,#REF!,#REF!,#REF!,#REF!,#REF!,#REF!),2)+$C62/2&gt;H62)),($F$5/$C$4),0))))</f>
        <v/>
      </c>
      <c r="J62" s="219"/>
      <c r="K62" s="220"/>
      <c r="L62" s="219"/>
      <c r="M62" s="220"/>
      <c r="N62" s="219"/>
      <c r="O62" s="70"/>
    </row>
    <row r="63" spans="1:15" s="32" customFormat="1" ht="21" hidden="1" customHeight="1">
      <c r="A63" s="214">
        <v>50</v>
      </c>
      <c r="B63" s="221"/>
      <c r="C63" s="215" t="str">
        <f>IF(B63="","",IF($L$4="Media aritmética",ROUND(AVERAGE(D63,F63,H63,J63,L63,N63,#REF!,#REF!,#REF!,#REF!,#REF!,#REF!,#REF!,#REF!,#REF!),2),ROUND(_xlfn.STDEV.P(D63,F63,H63,J63,L63,N63,#REF!,#REF!,#REF!,#REF!,#REF!,#REF!,#REF!,#REF!,#REF!),2)))</f>
        <v/>
      </c>
      <c r="D63" s="216" t="str">
        <f t="shared" si="7"/>
        <v/>
      </c>
      <c r="E63" s="222" t="str">
        <f>IF($B63="","",IF(D63="","",IF($L$4="Media aritmética",(D63&lt;=$C63)*($F$5/$C$4)+(D63&gt;$C63)*0,IF(AND(ROUND(AVERAGE($D63,$F63,$H63,$J63,$L63,$N63,#REF!,#REF!,#REF!,#REF!,#REF!,#REF!,#REF!,#REF!,#REF!),2)-$C63/2&lt;=D63,(ROUND(AVERAGE($D63,$F63,$H63,$J63,$L63,$N63,#REF!,#REF!,#REF!,#REF!,#REF!,#REF!,#REF!,#REF!,#REF!),2)+$C63/2&gt;D63)),($F$5/$C$4),0))))</f>
        <v/>
      </c>
      <c r="F63" s="223" t="str">
        <f t="shared" si="8"/>
        <v/>
      </c>
      <c r="G63" s="222" t="str">
        <f>IF($B63="","",IF(F63="","",IF($L$4="Media aritmética",(F63&lt;=$C63)*($F$5/$C$4)+(F63&gt;$C63)*0,IF(AND(ROUND(AVERAGE($D63,$F63,$H63,$J63,$L63,$N63,#REF!,#REF!,#REF!,#REF!,#REF!,#REF!,#REF!,#REF!,#REF!),2)-$C63/2&lt;=F63,(ROUND(AVERAGE($D63,$F63,$H63,$J63,$L63,$N63,#REF!,#REF!,#REF!,#REF!,#REF!,#REF!,#REF!,#REF!,#REF!),2)+$C63/2&gt;F63)),($F$5/$C$4),0))))</f>
        <v/>
      </c>
      <c r="H63" s="223" t="str">
        <f t="shared" si="9"/>
        <v/>
      </c>
      <c r="I63" s="224" t="str">
        <f>IF($B63="","",IF(H63="","",IF($L$4="Media aritmética",(H63&lt;=$C63)*($F$5/$C$4)+(H63&gt;$C63)*0,IF(AND(ROUND(AVERAGE($D63,$F63,$H63,$J63,$L63,$N63,#REF!,#REF!,#REF!,#REF!,#REF!,#REF!,#REF!,#REF!,#REF!),2)-$C63/2&lt;=H63,(ROUND(AVERAGE($D63,$F63,$H63,$J63,$L63,$N63,#REF!,#REF!,#REF!,#REF!,#REF!,#REF!,#REF!,#REF!,#REF!),2)+$C63/2&gt;H63)),($F$5/$C$4),0))))</f>
        <v/>
      </c>
      <c r="J63" s="219"/>
      <c r="K63" s="220"/>
      <c r="L63" s="219"/>
      <c r="M63" s="220"/>
      <c r="N63" s="219"/>
      <c r="O63" s="70"/>
    </row>
    <row r="64" spans="1:15" s="32" customFormat="1" ht="21" hidden="1" customHeight="1">
      <c r="A64" s="214">
        <v>51</v>
      </c>
      <c r="B64" s="221"/>
      <c r="C64" s="215" t="str">
        <f>IF(B64="","",IF($L$4="Media aritmética",ROUND(AVERAGE(D64,F64,H64,J64,L64,N64,#REF!,#REF!,#REF!,#REF!,#REF!,#REF!,#REF!,#REF!,#REF!),2),ROUND(_xlfn.STDEV.P(D64,F64,H64,J64,L64,N64,#REF!,#REF!,#REF!,#REF!,#REF!,#REF!,#REF!,#REF!,#REF!),2)))</f>
        <v/>
      </c>
      <c r="D64" s="216" t="str">
        <f t="shared" si="7"/>
        <v/>
      </c>
      <c r="E64" s="222" t="str">
        <f>IF($B64="","",IF(D64="","",IF($L$4="Media aritmética",(D64&lt;=$C64)*($F$5/$C$4)+(D64&gt;$C64)*0,IF(AND(ROUND(AVERAGE($D64,$F64,$H64,$J64,$L64,$N64,#REF!,#REF!,#REF!,#REF!,#REF!,#REF!,#REF!,#REF!,#REF!),2)-$C64/2&lt;=D64,(ROUND(AVERAGE($D64,$F64,$H64,$J64,$L64,$N64,#REF!,#REF!,#REF!,#REF!,#REF!,#REF!,#REF!,#REF!,#REF!),2)+$C64/2&gt;D64)),($F$5/$C$4),0))))</f>
        <v/>
      </c>
      <c r="F64" s="223" t="str">
        <f t="shared" si="8"/>
        <v/>
      </c>
      <c r="G64" s="222" t="str">
        <f>IF($B64="","",IF(F64="","",IF($L$4="Media aritmética",(F64&lt;=$C64)*($F$5/$C$4)+(F64&gt;$C64)*0,IF(AND(ROUND(AVERAGE($D64,$F64,$H64,$J64,$L64,$N64,#REF!,#REF!,#REF!,#REF!,#REF!,#REF!,#REF!,#REF!,#REF!),2)-$C64/2&lt;=F64,(ROUND(AVERAGE($D64,$F64,$H64,$J64,$L64,$N64,#REF!,#REF!,#REF!,#REF!,#REF!,#REF!,#REF!,#REF!,#REF!),2)+$C64/2&gt;F64)),($F$5/$C$4),0))))</f>
        <v/>
      </c>
      <c r="H64" s="223" t="str">
        <f t="shared" si="9"/>
        <v/>
      </c>
      <c r="I64" s="224" t="str">
        <f>IF($B64="","",IF(H64="","",IF($L$4="Media aritmética",(H64&lt;=$C64)*($F$5/$C$4)+(H64&gt;$C64)*0,IF(AND(ROUND(AVERAGE($D64,$F64,$H64,$J64,$L64,$N64,#REF!,#REF!,#REF!,#REF!,#REF!,#REF!,#REF!,#REF!,#REF!),2)-$C64/2&lt;=H64,(ROUND(AVERAGE($D64,$F64,$H64,$J64,$L64,$N64,#REF!,#REF!,#REF!,#REF!,#REF!,#REF!,#REF!,#REF!,#REF!),2)+$C64/2&gt;H64)),($F$5/$C$4),0))))</f>
        <v/>
      </c>
      <c r="J64" s="219"/>
      <c r="K64" s="220"/>
      <c r="L64" s="219"/>
      <c r="M64" s="220"/>
      <c r="N64" s="219"/>
      <c r="O64" s="70"/>
    </row>
    <row r="65" spans="1:15" s="32" customFormat="1" ht="21" hidden="1" customHeight="1">
      <c r="A65" s="214">
        <v>52</v>
      </c>
      <c r="B65" s="221"/>
      <c r="C65" s="215" t="str">
        <f>IF(B65="","",IF($L$4="Media aritmética",ROUND(AVERAGE(D65,F65,H65,J65,L65,N65,#REF!,#REF!,#REF!,#REF!,#REF!,#REF!,#REF!,#REF!,#REF!),2),ROUND(_xlfn.STDEV.P(D65,F65,H65,J65,L65,N65,#REF!,#REF!,#REF!,#REF!,#REF!,#REF!,#REF!,#REF!,#REF!),2)))</f>
        <v/>
      </c>
      <c r="D65" s="216" t="str">
        <f t="shared" si="7"/>
        <v/>
      </c>
      <c r="E65" s="222" t="str">
        <f>IF($B65="","",IF(D65="","",IF($L$4="Media aritmética",(D65&lt;=$C65)*($F$5/$C$4)+(D65&gt;$C65)*0,IF(AND(ROUND(AVERAGE($D65,$F65,$H65,$J65,$L65,$N65,#REF!,#REF!,#REF!,#REF!,#REF!,#REF!,#REF!,#REF!,#REF!),2)-$C65/2&lt;=D65,(ROUND(AVERAGE($D65,$F65,$H65,$J65,$L65,$N65,#REF!,#REF!,#REF!,#REF!,#REF!,#REF!,#REF!,#REF!,#REF!),2)+$C65/2&gt;D65)),($F$5/$C$4),0))))</f>
        <v/>
      </c>
      <c r="F65" s="223" t="str">
        <f t="shared" si="8"/>
        <v/>
      </c>
      <c r="G65" s="222" t="str">
        <f>IF($B65="","",IF(F65="","",IF($L$4="Media aritmética",(F65&lt;=$C65)*($F$5/$C$4)+(F65&gt;$C65)*0,IF(AND(ROUND(AVERAGE($D65,$F65,$H65,$J65,$L65,$N65,#REF!,#REF!,#REF!,#REF!,#REF!,#REF!,#REF!,#REF!,#REF!),2)-$C65/2&lt;=F65,(ROUND(AVERAGE($D65,$F65,$H65,$J65,$L65,$N65,#REF!,#REF!,#REF!,#REF!,#REF!,#REF!,#REF!,#REF!,#REF!),2)+$C65/2&gt;F65)),($F$5/$C$4),0))))</f>
        <v/>
      </c>
      <c r="H65" s="223" t="str">
        <f t="shared" si="9"/>
        <v/>
      </c>
      <c r="I65" s="224" t="str">
        <f>IF($B65="","",IF(H65="","",IF($L$4="Media aritmética",(H65&lt;=$C65)*($F$5/$C$4)+(H65&gt;$C65)*0,IF(AND(ROUND(AVERAGE($D65,$F65,$H65,$J65,$L65,$N65,#REF!,#REF!,#REF!,#REF!,#REF!,#REF!,#REF!,#REF!,#REF!),2)-$C65/2&lt;=H65,(ROUND(AVERAGE($D65,$F65,$H65,$J65,$L65,$N65,#REF!,#REF!,#REF!,#REF!,#REF!,#REF!,#REF!,#REF!,#REF!),2)+$C65/2&gt;H65)),($F$5/$C$4),0))))</f>
        <v/>
      </c>
      <c r="J65" s="219"/>
      <c r="K65" s="220"/>
      <c r="L65" s="219"/>
      <c r="M65" s="220"/>
      <c r="N65" s="219"/>
      <c r="O65" s="70"/>
    </row>
    <row r="66" spans="1:15" s="32" customFormat="1" ht="21" hidden="1" customHeight="1">
      <c r="A66" s="214">
        <v>53</v>
      </c>
      <c r="B66" s="221"/>
      <c r="C66" s="215" t="str">
        <f>IF(B66="","",IF($L$4="Media aritmética",ROUND(AVERAGE(D66,F66,H66,J66,L66,N66,#REF!,#REF!,#REF!,#REF!,#REF!,#REF!,#REF!,#REF!,#REF!),2),ROUND(_xlfn.STDEV.P(D66,F66,H66,J66,L66,N66,#REF!,#REF!,#REF!,#REF!,#REF!,#REF!,#REF!,#REF!,#REF!),2)))</f>
        <v/>
      </c>
      <c r="D66" s="216" t="str">
        <f t="shared" si="7"/>
        <v/>
      </c>
      <c r="E66" s="222" t="str">
        <f>IF($B66="","",IF(D66="","",IF($L$4="Media aritmética",(D66&lt;=$C66)*($F$5/$C$4)+(D66&gt;$C66)*0,IF(AND(ROUND(AVERAGE($D66,$F66,$H66,$J66,$L66,$N66,#REF!,#REF!,#REF!,#REF!,#REF!,#REF!,#REF!,#REF!,#REF!),2)-$C66/2&lt;=D66,(ROUND(AVERAGE($D66,$F66,$H66,$J66,$L66,$N66,#REF!,#REF!,#REF!,#REF!,#REF!,#REF!,#REF!,#REF!,#REF!),2)+$C66/2&gt;D66)),($F$5/$C$4),0))))</f>
        <v/>
      </c>
      <c r="F66" s="223" t="str">
        <f t="shared" si="8"/>
        <v/>
      </c>
      <c r="G66" s="222" t="str">
        <f>IF($B66="","",IF(F66="","",IF($L$4="Media aritmética",(F66&lt;=$C66)*($F$5/$C$4)+(F66&gt;$C66)*0,IF(AND(ROUND(AVERAGE($D66,$F66,$H66,$J66,$L66,$N66,#REF!,#REF!,#REF!,#REF!,#REF!,#REF!,#REF!,#REF!,#REF!),2)-$C66/2&lt;=F66,(ROUND(AVERAGE($D66,$F66,$H66,$J66,$L66,$N66,#REF!,#REF!,#REF!,#REF!,#REF!,#REF!,#REF!,#REF!,#REF!),2)+$C66/2&gt;F66)),($F$5/$C$4),0))))</f>
        <v/>
      </c>
      <c r="H66" s="223" t="str">
        <f t="shared" si="9"/>
        <v/>
      </c>
      <c r="I66" s="224" t="str">
        <f>IF($B66="","",IF(H66="","",IF($L$4="Media aritmética",(H66&lt;=$C66)*($F$5/$C$4)+(H66&gt;$C66)*0,IF(AND(ROUND(AVERAGE($D66,$F66,$H66,$J66,$L66,$N66,#REF!,#REF!,#REF!,#REF!,#REF!,#REF!,#REF!,#REF!,#REF!),2)-$C66/2&lt;=H66,(ROUND(AVERAGE($D66,$F66,$H66,$J66,$L66,$N66,#REF!,#REF!,#REF!,#REF!,#REF!,#REF!,#REF!,#REF!,#REF!),2)+$C66/2&gt;H66)),($F$5/$C$4),0))))</f>
        <v/>
      </c>
      <c r="J66" s="219"/>
      <c r="K66" s="220"/>
      <c r="L66" s="219"/>
      <c r="M66" s="220"/>
      <c r="N66" s="219"/>
      <c r="O66" s="70"/>
    </row>
    <row r="67" spans="1:15" s="32" customFormat="1" ht="21" hidden="1" customHeight="1">
      <c r="A67" s="214">
        <v>54</v>
      </c>
      <c r="B67" s="221"/>
      <c r="C67" s="215" t="str">
        <f>IF(B67="","",IF($L$4="Media aritmética",ROUND(AVERAGE(D67,F67,H67,J67,L67,N67,#REF!,#REF!,#REF!,#REF!,#REF!,#REF!,#REF!,#REF!,#REF!),2),ROUND(_xlfn.STDEV.P(D67,F67,H67,J67,L67,N67,#REF!,#REF!,#REF!,#REF!,#REF!,#REF!,#REF!,#REF!,#REF!),2)))</f>
        <v/>
      </c>
      <c r="D67" s="216" t="str">
        <f t="shared" si="7"/>
        <v/>
      </c>
      <c r="E67" s="222" t="str">
        <f>IF($B67="","",IF(D67="","",IF($L$4="Media aritmética",(D67&lt;=$C67)*($F$5/$C$4)+(D67&gt;$C67)*0,IF(AND(ROUND(AVERAGE($D67,$F67,$H67,$J67,$L67,$N67,#REF!,#REF!,#REF!,#REF!,#REF!,#REF!,#REF!,#REF!,#REF!),2)-$C67/2&lt;=D67,(ROUND(AVERAGE($D67,$F67,$H67,$J67,$L67,$N67,#REF!,#REF!,#REF!,#REF!,#REF!,#REF!,#REF!,#REF!,#REF!),2)+$C67/2&gt;D67)),($F$5/$C$4),0))))</f>
        <v/>
      </c>
      <c r="F67" s="223" t="str">
        <f t="shared" si="8"/>
        <v/>
      </c>
      <c r="G67" s="222" t="str">
        <f>IF($B67="","",IF(F67="","",IF($L$4="Media aritmética",(F67&lt;=$C67)*($F$5/$C$4)+(F67&gt;$C67)*0,IF(AND(ROUND(AVERAGE($D67,$F67,$H67,$J67,$L67,$N67,#REF!,#REF!,#REF!,#REF!,#REF!,#REF!,#REF!,#REF!,#REF!),2)-$C67/2&lt;=F67,(ROUND(AVERAGE($D67,$F67,$H67,$J67,$L67,$N67,#REF!,#REF!,#REF!,#REF!,#REF!,#REF!,#REF!,#REF!,#REF!),2)+$C67/2&gt;F67)),($F$5/$C$4),0))))</f>
        <v/>
      </c>
      <c r="H67" s="223" t="str">
        <f t="shared" si="9"/>
        <v/>
      </c>
      <c r="I67" s="224" t="str">
        <f>IF($B67="","",IF(H67="","",IF($L$4="Media aritmética",(H67&lt;=$C67)*($F$5/$C$4)+(H67&gt;$C67)*0,IF(AND(ROUND(AVERAGE($D67,$F67,$H67,$J67,$L67,$N67,#REF!,#REF!,#REF!,#REF!,#REF!,#REF!,#REF!,#REF!,#REF!),2)-$C67/2&lt;=H67,(ROUND(AVERAGE($D67,$F67,$H67,$J67,$L67,$N67,#REF!,#REF!,#REF!,#REF!,#REF!,#REF!,#REF!,#REF!,#REF!),2)+$C67/2&gt;H67)),($F$5/$C$4),0))))</f>
        <v/>
      </c>
      <c r="J67" s="219"/>
      <c r="K67" s="220"/>
      <c r="L67" s="219"/>
      <c r="M67" s="220"/>
      <c r="N67" s="219"/>
      <c r="O67" s="70"/>
    </row>
    <row r="68" spans="1:15" s="32" customFormat="1" ht="21" hidden="1" customHeight="1">
      <c r="A68" s="214">
        <v>55</v>
      </c>
      <c r="B68" s="221"/>
      <c r="C68" s="215" t="str">
        <f>IF(B68="","",IF($L$4="Media aritmética",ROUND(AVERAGE(D68,F68,H68,J68,L68,N68,#REF!,#REF!,#REF!,#REF!,#REF!,#REF!,#REF!,#REF!,#REF!),2),ROUND(_xlfn.STDEV.P(D68,F68,H68,J68,L68,N68,#REF!,#REF!,#REF!,#REF!,#REF!,#REF!,#REF!,#REF!,#REF!),2)))</f>
        <v/>
      </c>
      <c r="D68" s="216" t="str">
        <f t="shared" si="7"/>
        <v/>
      </c>
      <c r="E68" s="222" t="str">
        <f>IF($B68="","",IF(D68="","",IF($L$4="Media aritmética",(D68&lt;=$C68)*($F$5/$C$4)+(D68&gt;$C68)*0,IF(AND(ROUND(AVERAGE($D68,$F68,$H68,$J68,$L68,$N68,#REF!,#REF!,#REF!,#REF!,#REF!,#REF!,#REF!,#REF!,#REF!),2)-$C68/2&lt;=D68,(ROUND(AVERAGE($D68,$F68,$H68,$J68,$L68,$N68,#REF!,#REF!,#REF!,#REF!,#REF!,#REF!,#REF!,#REF!,#REF!),2)+$C68/2&gt;D68)),($F$5/$C$4),0))))</f>
        <v/>
      </c>
      <c r="F68" s="223" t="str">
        <f t="shared" si="8"/>
        <v/>
      </c>
      <c r="G68" s="222" t="str">
        <f>IF($B68="","",IF(F68="","",IF($L$4="Media aritmética",(F68&lt;=$C68)*($F$5/$C$4)+(F68&gt;$C68)*0,IF(AND(ROUND(AVERAGE($D68,$F68,$H68,$J68,$L68,$N68,#REF!,#REF!,#REF!,#REF!,#REF!,#REF!,#REF!,#REF!,#REF!),2)-$C68/2&lt;=F68,(ROUND(AVERAGE($D68,$F68,$H68,$J68,$L68,$N68,#REF!,#REF!,#REF!,#REF!,#REF!,#REF!,#REF!,#REF!,#REF!),2)+$C68/2&gt;F68)),($F$5/$C$4),0))))</f>
        <v/>
      </c>
      <c r="H68" s="223" t="str">
        <f t="shared" si="9"/>
        <v/>
      </c>
      <c r="I68" s="224" t="str">
        <f>IF($B68="","",IF(H68="","",IF($L$4="Media aritmética",(H68&lt;=$C68)*($F$5/$C$4)+(H68&gt;$C68)*0,IF(AND(ROUND(AVERAGE($D68,$F68,$H68,$J68,$L68,$N68,#REF!,#REF!,#REF!,#REF!,#REF!,#REF!,#REF!,#REF!,#REF!),2)-$C68/2&lt;=H68,(ROUND(AVERAGE($D68,$F68,$H68,$J68,$L68,$N68,#REF!,#REF!,#REF!,#REF!,#REF!,#REF!,#REF!,#REF!,#REF!),2)+$C68/2&gt;H68)),($F$5/$C$4),0))))</f>
        <v/>
      </c>
      <c r="J68" s="219"/>
      <c r="K68" s="220"/>
      <c r="L68" s="219"/>
      <c r="M68" s="220"/>
      <c r="N68" s="219"/>
      <c r="O68" s="70"/>
    </row>
    <row r="69" spans="1:15" s="32" customFormat="1" ht="21" hidden="1" customHeight="1">
      <c r="A69" s="214">
        <v>56</v>
      </c>
      <c r="B69" s="221"/>
      <c r="C69" s="215" t="str">
        <f>IF(B69="","",IF($L$4="Media aritmética",ROUND(AVERAGE(D69,F69,H69,J69,L69,N69,#REF!,#REF!,#REF!,#REF!,#REF!,#REF!,#REF!,#REF!,#REF!),2),ROUND(_xlfn.STDEV.P(D69,F69,H69,J69,L69,N69,#REF!,#REF!,#REF!,#REF!,#REF!,#REF!,#REF!,#REF!,#REF!),2)))</f>
        <v/>
      </c>
      <c r="D69" s="216" t="str">
        <f t="shared" si="7"/>
        <v/>
      </c>
      <c r="E69" s="222" t="str">
        <f>IF($B69="","",IF(D69="","",IF($L$4="Media aritmética",(D69&lt;=$C69)*($F$5/$C$4)+(D69&gt;$C69)*0,IF(AND(ROUND(AVERAGE($D69,$F69,$H69,$J69,$L69,$N69,#REF!,#REF!,#REF!,#REF!,#REF!,#REF!,#REF!,#REF!,#REF!),2)-$C69/2&lt;=D69,(ROUND(AVERAGE($D69,$F69,$H69,$J69,$L69,$N69,#REF!,#REF!,#REF!,#REF!,#REF!,#REF!,#REF!,#REF!,#REF!),2)+$C69/2&gt;D69)),($F$5/$C$4),0))))</f>
        <v/>
      </c>
      <c r="F69" s="223" t="str">
        <f t="shared" si="8"/>
        <v/>
      </c>
      <c r="G69" s="222" t="str">
        <f>IF($B69="","",IF(F69="","",IF($L$4="Media aritmética",(F69&lt;=$C69)*($F$5/$C$4)+(F69&gt;$C69)*0,IF(AND(ROUND(AVERAGE($D69,$F69,$H69,$J69,$L69,$N69,#REF!,#REF!,#REF!,#REF!,#REF!,#REF!,#REF!,#REF!,#REF!),2)-$C69/2&lt;=F69,(ROUND(AVERAGE($D69,$F69,$H69,$J69,$L69,$N69,#REF!,#REF!,#REF!,#REF!,#REF!,#REF!,#REF!,#REF!,#REF!),2)+$C69/2&gt;F69)),($F$5/$C$4),0))))</f>
        <v/>
      </c>
      <c r="H69" s="223" t="str">
        <f t="shared" si="9"/>
        <v/>
      </c>
      <c r="I69" s="224" t="str">
        <f>IF($B69="","",IF(H69="","",IF($L$4="Media aritmética",(H69&lt;=$C69)*($F$5/$C$4)+(H69&gt;$C69)*0,IF(AND(ROUND(AVERAGE($D69,$F69,$H69,$J69,$L69,$N69,#REF!,#REF!,#REF!,#REF!,#REF!,#REF!,#REF!,#REF!,#REF!),2)-$C69/2&lt;=H69,(ROUND(AVERAGE($D69,$F69,$H69,$J69,$L69,$N69,#REF!,#REF!,#REF!,#REF!,#REF!,#REF!,#REF!,#REF!,#REF!),2)+$C69/2&gt;H69)),($F$5/$C$4),0))))</f>
        <v/>
      </c>
      <c r="J69" s="219"/>
      <c r="K69" s="220"/>
      <c r="L69" s="219"/>
      <c r="M69" s="220"/>
      <c r="N69" s="219"/>
      <c r="O69" s="70"/>
    </row>
    <row r="70" spans="1:15" s="32" customFormat="1" ht="21" hidden="1" customHeight="1">
      <c r="A70" s="214">
        <v>57</v>
      </c>
      <c r="B70" s="221"/>
      <c r="C70" s="215" t="str">
        <f>IF(B70="","",IF($L$4="Media aritmética",ROUND(AVERAGE(D70,F70,H70,J70,L70,N70,#REF!,#REF!,#REF!,#REF!,#REF!,#REF!,#REF!,#REF!,#REF!),2),ROUND(_xlfn.STDEV.P(D70,F70,H70,J70,L70,N70,#REF!,#REF!,#REF!,#REF!,#REF!,#REF!,#REF!,#REF!,#REF!),2)))</f>
        <v/>
      </c>
      <c r="D70" s="216" t="str">
        <f t="shared" si="7"/>
        <v/>
      </c>
      <c r="E70" s="222" t="str">
        <f>IF($B70="","",IF(D70="","",IF($L$4="Media aritmética",(D70&lt;=$C70)*($F$5/$C$4)+(D70&gt;$C70)*0,IF(AND(ROUND(AVERAGE($D70,$F70,$H70,$J70,$L70,$N70,#REF!,#REF!,#REF!,#REF!,#REF!,#REF!,#REF!,#REF!,#REF!),2)-$C70/2&lt;=D70,(ROUND(AVERAGE($D70,$F70,$H70,$J70,$L70,$N70,#REF!,#REF!,#REF!,#REF!,#REF!,#REF!,#REF!,#REF!,#REF!),2)+$C70/2&gt;D70)),($F$5/$C$4),0))))</f>
        <v/>
      </c>
      <c r="F70" s="223" t="str">
        <f t="shared" si="8"/>
        <v/>
      </c>
      <c r="G70" s="222" t="str">
        <f>IF($B70="","",IF(F70="","",IF($L$4="Media aritmética",(F70&lt;=$C70)*($F$5/$C$4)+(F70&gt;$C70)*0,IF(AND(ROUND(AVERAGE($D70,$F70,$H70,$J70,$L70,$N70,#REF!,#REF!,#REF!,#REF!,#REF!,#REF!,#REF!,#REF!,#REF!),2)-$C70/2&lt;=F70,(ROUND(AVERAGE($D70,$F70,$H70,$J70,$L70,$N70,#REF!,#REF!,#REF!,#REF!,#REF!,#REF!,#REF!,#REF!,#REF!),2)+$C70/2&gt;F70)),($F$5/$C$4),0))))</f>
        <v/>
      </c>
      <c r="H70" s="223" t="str">
        <f t="shared" si="9"/>
        <v/>
      </c>
      <c r="I70" s="224" t="str">
        <f>IF($B70="","",IF(H70="","",IF($L$4="Media aritmética",(H70&lt;=$C70)*($F$5/$C$4)+(H70&gt;$C70)*0,IF(AND(ROUND(AVERAGE($D70,$F70,$H70,$J70,$L70,$N70,#REF!,#REF!,#REF!,#REF!,#REF!,#REF!,#REF!,#REF!,#REF!),2)-$C70/2&lt;=H70,(ROUND(AVERAGE($D70,$F70,$H70,$J70,$L70,$N70,#REF!,#REF!,#REF!,#REF!,#REF!,#REF!,#REF!,#REF!,#REF!),2)+$C70/2&gt;H70)),($F$5/$C$4),0))))</f>
        <v/>
      </c>
      <c r="J70" s="219"/>
      <c r="K70" s="220"/>
      <c r="L70" s="219"/>
      <c r="M70" s="220"/>
      <c r="N70" s="219"/>
      <c r="O70" s="70"/>
    </row>
    <row r="71" spans="1:15" ht="21" customHeight="1">
      <c r="A71" s="193"/>
      <c r="B71" s="193"/>
      <c r="C71" s="193"/>
      <c r="D71" s="193"/>
      <c r="E71" s="193"/>
      <c r="F71" s="193"/>
      <c r="G71" s="193"/>
      <c r="H71" s="193"/>
      <c r="I71" s="193"/>
      <c r="J71" s="212"/>
      <c r="K71" s="212"/>
      <c r="L71" s="212"/>
      <c r="M71" s="212"/>
      <c r="N71" s="212"/>
      <c r="O71" s="46"/>
    </row>
    <row r="72" spans="1:15" ht="21.75" customHeight="1">
      <c r="A72" s="193"/>
      <c r="B72" s="676" t="s">
        <v>63</v>
      </c>
      <c r="C72" s="677"/>
      <c r="D72" s="677"/>
      <c r="E72" s="677"/>
      <c r="F72" s="677"/>
      <c r="G72" s="677"/>
      <c r="H72" s="225"/>
      <c r="I72" s="225"/>
      <c r="J72" s="226"/>
      <c r="K72" s="226"/>
      <c r="L72" s="226"/>
      <c r="M72" s="226"/>
      <c r="N72" s="226"/>
      <c r="O72" s="73"/>
    </row>
    <row r="73" spans="1:15" s="32" customFormat="1" ht="39" customHeight="1">
      <c r="A73" s="214">
        <v>1</v>
      </c>
      <c r="B73" s="195">
        <v>1.3</v>
      </c>
      <c r="C73" s="215">
        <f t="shared" ref="C73:C136" si="10">IF(B73="","",IF($L$4="Media aritmética",ROUND(AVERAGE(D73,F73,H73),2),ROUND(_xlfn.STDEV.P(D73,F73,H73),2)))</f>
        <v>31765853</v>
      </c>
      <c r="D73" s="223" t="str">
        <f>IF($D$8="Habilitado",IF($B73="","",ROUND(VLOOKUP($B73,UNITARIO_1,5,FALSE),2)),"")</f>
        <v/>
      </c>
      <c r="E73" s="217" t="str">
        <f>IF($B73="","",IF(D73="","",IF($L$4="Media aritmética",(D73&lt;=$C73)*($H$5/$C$5)+(D73&gt;$C73)*0,IF(AND(ROUND(AVERAGE($D73,$F73,$H73),2)-$C73/2&lt;=D73,(ROUND(AVERAGE($D73,$F73,$H73),2)+$C73/2&gt;D73)),($H$5/$C$5),0))))</f>
        <v/>
      </c>
      <c r="F73" s="218">
        <f t="shared" ref="F73:F104" si="11">IF($F$8="Habilitado",IF($B73="","",ROUND(VLOOKUP($B73,UNITARIO_2,5,FALSE),2)),"")</f>
        <v>31765853</v>
      </c>
      <c r="G73" s="217">
        <f>IF($B73="","",IF(F73="","",IF($L$4="Media aritmética",(F73&lt;=$C73)*($H$5/$C$5)+(F73&gt;$C73)*0,IF(AND(ROUND(AVERAGE($D73,$F73,$H73),2)-$C73/2&lt;=F73,(ROUND(AVERAGE($D73,$F73,$H73),2)+$C73/2&gt;F73)),($H$5/$C$5),0))))</f>
        <v>4.5454545454545459</v>
      </c>
      <c r="H73" s="218" t="str">
        <f t="shared" ref="H73:H104" si="12">IF($H$8="Habilitado",IF($B73="","",ROUND(VLOOKUP($B73,UNITARIO_3,5,FALSE),2)),"")</f>
        <v/>
      </c>
      <c r="I73" s="217" t="str">
        <f>IF($B73="","",IF(H73="","",IF($L$4="Media aritmética",(H73&lt;=$C73)*($H$5/$C$5)+(H73&gt;$C73)*0,IF(AND(ROUND(AVERAGE($D73,$F73,$H73),2)-$C73/2&lt;=H73,(ROUND(AVERAGE($D73,$F73,$H73),2)+$C73/2&gt;H73)),($H$5/$C$5),0))))</f>
        <v/>
      </c>
      <c r="J73" s="219"/>
      <c r="K73" s="220"/>
      <c r="L73" s="219"/>
      <c r="M73" s="220"/>
      <c r="N73" s="219"/>
      <c r="O73" s="70"/>
    </row>
    <row r="74" spans="1:15" s="32" customFormat="1" ht="38.25" customHeight="1">
      <c r="A74" s="214">
        <v>2</v>
      </c>
      <c r="B74" s="195">
        <v>1.5</v>
      </c>
      <c r="C74" s="215">
        <f t="shared" si="10"/>
        <v>32820678</v>
      </c>
      <c r="D74" s="223" t="str">
        <f t="shared" ref="D74:D104" si="13">IF($D$8="Habilitado",IF($B74="","",ROUND(VLOOKUP($B74,UNITARIO_1,5,FALSE),2)),"")</f>
        <v/>
      </c>
      <c r="E74" s="217" t="str">
        <f t="shared" ref="E74:E137" si="14">IF($B74="","",IF(D74="","",IF($L$4="Media aritmética",(D74&lt;=$C74)*($H$5/$C$5)+(D74&gt;$C74)*0,IF(AND(ROUND(AVERAGE($D74,$F74,$H74),2)-$C74/2&lt;=D74,(ROUND(AVERAGE($D74,$F74,$H74),2)+$C74/2&gt;D74)),($H$5/$C$5),0))))</f>
        <v/>
      </c>
      <c r="F74" s="218">
        <f t="shared" si="11"/>
        <v>32820678</v>
      </c>
      <c r="G74" s="217">
        <f t="shared" ref="G74:G137" si="15">IF($B74="","",IF(F74="","",IF($L$4="Media aritmética",(F74&lt;=$C74)*($H$5/$C$5)+(F74&gt;$C74)*0,IF(AND(ROUND(AVERAGE($D74,$F74,$H74),2)-$C74/2&lt;=F74,(ROUND(AVERAGE($D74,$F74,$H74),2)+$C74/2&gt;F74)),($H$5/$C$5),0))))</f>
        <v>4.5454545454545459</v>
      </c>
      <c r="H74" s="218" t="str">
        <f t="shared" si="12"/>
        <v/>
      </c>
      <c r="I74" s="217" t="str">
        <f t="shared" ref="I74:I137" si="16">IF($B74="","",IF(H74="","",IF($L$4="Media aritmética",(H74&lt;=$C74)*($H$5/$C$5)+(H74&gt;$C74)*0,IF(AND(ROUND(AVERAGE($D74,$F74,$H74),2)-$C74/2&lt;=H74,(ROUND(AVERAGE($D74,$F74,$H74),2)+$C74/2&gt;H74)),($H$5/$C$5),0))))</f>
        <v/>
      </c>
      <c r="J74" s="219"/>
      <c r="K74" s="220"/>
      <c r="L74" s="219"/>
      <c r="M74" s="220"/>
      <c r="N74" s="219"/>
      <c r="O74" s="70"/>
    </row>
    <row r="75" spans="1:15" s="32" customFormat="1" ht="35.25" customHeight="1">
      <c r="A75" s="214">
        <v>3</v>
      </c>
      <c r="B75" s="195">
        <v>2.2000000000000002</v>
      </c>
      <c r="C75" s="215">
        <f t="shared" si="10"/>
        <v>25971220</v>
      </c>
      <c r="D75" s="223" t="str">
        <f t="shared" si="13"/>
        <v/>
      </c>
      <c r="E75" s="217" t="str">
        <f t="shared" si="14"/>
        <v/>
      </c>
      <c r="F75" s="218">
        <f t="shared" si="11"/>
        <v>25971220</v>
      </c>
      <c r="G75" s="217">
        <f t="shared" si="15"/>
        <v>4.5454545454545459</v>
      </c>
      <c r="H75" s="218" t="str">
        <f t="shared" si="12"/>
        <v/>
      </c>
      <c r="I75" s="217" t="str">
        <f t="shared" si="16"/>
        <v/>
      </c>
      <c r="J75" s="219"/>
      <c r="K75" s="220"/>
      <c r="L75" s="219"/>
      <c r="M75" s="220"/>
      <c r="N75" s="219"/>
      <c r="O75" s="70"/>
    </row>
    <row r="76" spans="1:15" s="32" customFormat="1" ht="21" customHeight="1">
      <c r="A76" s="214">
        <v>4</v>
      </c>
      <c r="B76" s="195">
        <v>3.1</v>
      </c>
      <c r="C76" s="215">
        <f t="shared" si="10"/>
        <v>24281179</v>
      </c>
      <c r="D76" s="223" t="str">
        <f t="shared" si="13"/>
        <v/>
      </c>
      <c r="E76" s="217" t="str">
        <f t="shared" si="14"/>
        <v/>
      </c>
      <c r="F76" s="218">
        <f t="shared" si="11"/>
        <v>24281179</v>
      </c>
      <c r="G76" s="217">
        <f t="shared" si="15"/>
        <v>4.5454545454545459</v>
      </c>
      <c r="H76" s="218" t="str">
        <f t="shared" si="12"/>
        <v/>
      </c>
      <c r="I76" s="217" t="str">
        <f t="shared" si="16"/>
        <v/>
      </c>
      <c r="J76" s="219"/>
      <c r="K76" s="220"/>
      <c r="L76" s="219"/>
      <c r="M76" s="220"/>
      <c r="N76" s="219"/>
      <c r="O76" s="70"/>
    </row>
    <row r="77" spans="1:15" s="32" customFormat="1" ht="21" customHeight="1">
      <c r="A77" s="214">
        <v>5</v>
      </c>
      <c r="B77" s="195" t="s">
        <v>176</v>
      </c>
      <c r="C77" s="215">
        <f t="shared" si="10"/>
        <v>50000</v>
      </c>
      <c r="D77" s="223" t="str">
        <f t="shared" si="13"/>
        <v/>
      </c>
      <c r="E77" s="217" t="str">
        <f t="shared" si="14"/>
        <v/>
      </c>
      <c r="F77" s="218">
        <f t="shared" si="11"/>
        <v>50000</v>
      </c>
      <c r="G77" s="217">
        <f t="shared" si="15"/>
        <v>4.5454545454545459</v>
      </c>
      <c r="H77" s="218" t="str">
        <f t="shared" si="12"/>
        <v/>
      </c>
      <c r="I77" s="217" t="str">
        <f t="shared" si="16"/>
        <v/>
      </c>
      <c r="J77" s="219"/>
      <c r="K77" s="220"/>
      <c r="L77" s="219"/>
      <c r="M77" s="220"/>
      <c r="N77" s="219"/>
      <c r="O77" s="70"/>
    </row>
    <row r="78" spans="1:15" s="32" customFormat="1" ht="31.5" customHeight="1">
      <c r="A78" s="214">
        <v>6</v>
      </c>
      <c r="B78" s="195" t="s">
        <v>177</v>
      </c>
      <c r="C78" s="215">
        <f t="shared" si="10"/>
        <v>50000</v>
      </c>
      <c r="D78" s="223" t="str">
        <f t="shared" si="13"/>
        <v/>
      </c>
      <c r="E78" s="217" t="str">
        <f t="shared" si="14"/>
        <v/>
      </c>
      <c r="F78" s="218">
        <f t="shared" si="11"/>
        <v>50000</v>
      </c>
      <c r="G78" s="217">
        <f t="shared" si="15"/>
        <v>4.5454545454545459</v>
      </c>
      <c r="H78" s="218" t="str">
        <f t="shared" si="12"/>
        <v/>
      </c>
      <c r="I78" s="217" t="str">
        <f t="shared" si="16"/>
        <v/>
      </c>
      <c r="J78" s="219"/>
      <c r="K78" s="220"/>
      <c r="L78" s="219"/>
      <c r="M78" s="220"/>
      <c r="N78" s="219"/>
      <c r="O78" s="70"/>
    </row>
    <row r="79" spans="1:15" s="32" customFormat="1" ht="56.25" customHeight="1">
      <c r="A79" s="214">
        <v>7</v>
      </c>
      <c r="B79" s="195" t="s">
        <v>178</v>
      </c>
      <c r="C79" s="215">
        <f t="shared" si="10"/>
        <v>97000</v>
      </c>
      <c r="D79" s="223" t="str">
        <f t="shared" si="13"/>
        <v/>
      </c>
      <c r="E79" s="217" t="str">
        <f t="shared" si="14"/>
        <v/>
      </c>
      <c r="F79" s="218">
        <f t="shared" si="11"/>
        <v>97000</v>
      </c>
      <c r="G79" s="217">
        <f t="shared" si="15"/>
        <v>4.5454545454545459</v>
      </c>
      <c r="H79" s="218" t="str">
        <f t="shared" si="12"/>
        <v/>
      </c>
      <c r="I79" s="217" t="str">
        <f t="shared" si="16"/>
        <v/>
      </c>
      <c r="J79" s="219"/>
      <c r="K79" s="220"/>
      <c r="L79" s="219"/>
      <c r="M79" s="220"/>
      <c r="N79" s="219"/>
      <c r="O79" s="70"/>
    </row>
    <row r="80" spans="1:15" s="32" customFormat="1" ht="42.75" customHeight="1">
      <c r="A80" s="214">
        <v>8</v>
      </c>
      <c r="B80" s="195" t="s">
        <v>179</v>
      </c>
      <c r="C80" s="215">
        <f t="shared" si="10"/>
        <v>72500</v>
      </c>
      <c r="D80" s="223" t="str">
        <f t="shared" si="13"/>
        <v/>
      </c>
      <c r="E80" s="217" t="str">
        <f t="shared" si="14"/>
        <v/>
      </c>
      <c r="F80" s="218">
        <f t="shared" si="11"/>
        <v>72500</v>
      </c>
      <c r="G80" s="217">
        <f t="shared" si="15"/>
        <v>4.5454545454545459</v>
      </c>
      <c r="H80" s="218" t="str">
        <f t="shared" si="12"/>
        <v/>
      </c>
      <c r="I80" s="217" t="str">
        <f t="shared" si="16"/>
        <v/>
      </c>
      <c r="J80" s="219"/>
      <c r="K80" s="220"/>
      <c r="L80" s="219"/>
      <c r="M80" s="220"/>
      <c r="N80" s="219"/>
      <c r="O80" s="70"/>
    </row>
    <row r="81" spans="1:15" s="32" customFormat="1" ht="36.75" customHeight="1">
      <c r="A81" s="214">
        <v>9</v>
      </c>
      <c r="B81" s="195" t="s">
        <v>180</v>
      </c>
      <c r="C81" s="215">
        <f t="shared" si="10"/>
        <v>237700</v>
      </c>
      <c r="D81" s="223" t="str">
        <f t="shared" si="13"/>
        <v/>
      </c>
      <c r="E81" s="217" t="str">
        <f t="shared" si="14"/>
        <v/>
      </c>
      <c r="F81" s="218">
        <f t="shared" si="11"/>
        <v>237700</v>
      </c>
      <c r="G81" s="217">
        <f t="shared" si="15"/>
        <v>4.5454545454545459</v>
      </c>
      <c r="H81" s="218" t="str">
        <f t="shared" si="12"/>
        <v/>
      </c>
      <c r="I81" s="217" t="str">
        <f t="shared" si="16"/>
        <v/>
      </c>
      <c r="J81" s="219"/>
      <c r="K81" s="220"/>
      <c r="L81" s="219"/>
      <c r="M81" s="220"/>
      <c r="N81" s="219"/>
      <c r="O81" s="70"/>
    </row>
    <row r="82" spans="1:15" s="32" customFormat="1" ht="21" customHeight="1">
      <c r="A82" s="214">
        <v>10</v>
      </c>
      <c r="B82" s="195" t="s">
        <v>181</v>
      </c>
      <c r="C82" s="215">
        <f t="shared" si="10"/>
        <v>108700</v>
      </c>
      <c r="D82" s="223" t="str">
        <f t="shared" si="13"/>
        <v/>
      </c>
      <c r="E82" s="217" t="str">
        <f t="shared" si="14"/>
        <v/>
      </c>
      <c r="F82" s="218">
        <f t="shared" si="11"/>
        <v>108700</v>
      </c>
      <c r="G82" s="217">
        <f t="shared" si="15"/>
        <v>4.5454545454545459</v>
      </c>
      <c r="H82" s="218" t="str">
        <f t="shared" si="12"/>
        <v/>
      </c>
      <c r="I82" s="217" t="str">
        <f t="shared" si="16"/>
        <v/>
      </c>
      <c r="J82" s="219"/>
      <c r="K82" s="220"/>
      <c r="L82" s="219"/>
      <c r="M82" s="220"/>
      <c r="N82" s="219"/>
      <c r="O82" s="70"/>
    </row>
    <row r="83" spans="1:15" s="32" customFormat="1" ht="21" customHeight="1">
      <c r="A83" s="214">
        <v>11</v>
      </c>
      <c r="B83" s="195" t="s">
        <v>182</v>
      </c>
      <c r="C83" s="215">
        <f t="shared" si="10"/>
        <v>17500</v>
      </c>
      <c r="D83" s="223" t="str">
        <f t="shared" si="13"/>
        <v/>
      </c>
      <c r="E83" s="217" t="str">
        <f t="shared" si="14"/>
        <v/>
      </c>
      <c r="F83" s="218">
        <f t="shared" si="11"/>
        <v>17500</v>
      </c>
      <c r="G83" s="217">
        <f>IF($B83="","",IF(F83="","",IF($L$4="Media aritmética",(F83&lt;=$C83)*($H$5/$C$5)+(F83&gt;$C83)*0,IF(AND(ROUND(AVERAGE($D83,$F83,$H83),2)-$C83/2&lt;=F83,(ROUND(AVERAGE($D83,$F83,$H83),2)+$C83/2&gt;F83)),($H$5/$C$5),0))))</f>
        <v>4.5454545454545459</v>
      </c>
      <c r="H83" s="218" t="str">
        <f t="shared" si="12"/>
        <v/>
      </c>
      <c r="I83" s="217" t="str">
        <f>IF($B83="","",IF(H83="","",IF($L$4="Media aritmética",(H83&lt;=$C83)*($H$5/$C$5)+(H83&gt;$C83)*0,IF(AND(ROUND(AVERAGE($D83,$F83,$H83),2)-$C83/2&lt;=H83,(ROUND(AVERAGE($D83,$F83,$H83),2)+$C83/2&gt;H83)),($H$5/$C$5),0))))</f>
        <v/>
      </c>
      <c r="J83" s="219"/>
      <c r="K83" s="220"/>
      <c r="L83" s="219"/>
      <c r="M83" s="220"/>
      <c r="N83" s="219"/>
      <c r="O83" s="70"/>
    </row>
    <row r="84" spans="1:15" s="32" customFormat="1" ht="21" hidden="1" customHeight="1">
      <c r="A84" s="59">
        <v>12</v>
      </c>
      <c r="B84" s="60"/>
      <c r="C84" s="37" t="str">
        <f t="shared" si="10"/>
        <v/>
      </c>
      <c r="D84" s="38" t="str">
        <f t="shared" si="13"/>
        <v/>
      </c>
      <c r="E84" s="74" t="str">
        <f t="shared" si="14"/>
        <v/>
      </c>
      <c r="F84" s="38" t="str">
        <f t="shared" si="11"/>
        <v/>
      </c>
      <c r="G84" s="74" t="str">
        <f t="shared" si="15"/>
        <v/>
      </c>
      <c r="H84" s="38" t="str">
        <f t="shared" si="12"/>
        <v/>
      </c>
      <c r="I84" s="74" t="str">
        <f t="shared" si="16"/>
        <v/>
      </c>
      <c r="J84" s="69"/>
      <c r="K84" s="70"/>
      <c r="L84" s="69"/>
      <c r="M84" s="70"/>
      <c r="N84" s="69"/>
      <c r="O84" s="70"/>
    </row>
    <row r="85" spans="1:15" s="32" customFormat="1" ht="21" hidden="1" customHeight="1">
      <c r="A85" s="59">
        <v>13</v>
      </c>
      <c r="B85" s="60"/>
      <c r="C85" s="37" t="str">
        <f t="shared" si="10"/>
        <v/>
      </c>
      <c r="D85" s="38" t="str">
        <f t="shared" si="13"/>
        <v/>
      </c>
      <c r="E85" s="74" t="str">
        <f t="shared" si="14"/>
        <v/>
      </c>
      <c r="F85" s="38" t="str">
        <f t="shared" si="11"/>
        <v/>
      </c>
      <c r="G85" s="74" t="str">
        <f t="shared" si="15"/>
        <v/>
      </c>
      <c r="H85" s="38" t="str">
        <f t="shared" si="12"/>
        <v/>
      </c>
      <c r="I85" s="74" t="str">
        <f t="shared" si="16"/>
        <v/>
      </c>
      <c r="J85" s="69"/>
      <c r="K85" s="70"/>
      <c r="L85" s="69"/>
      <c r="M85" s="70"/>
      <c r="N85" s="69"/>
      <c r="O85" s="70"/>
    </row>
    <row r="86" spans="1:15" s="32" customFormat="1" ht="33" hidden="1" customHeight="1">
      <c r="A86" s="59">
        <v>14</v>
      </c>
      <c r="B86" s="60"/>
      <c r="C86" s="37" t="str">
        <f t="shared" si="10"/>
        <v/>
      </c>
      <c r="D86" s="38" t="str">
        <f t="shared" si="13"/>
        <v/>
      </c>
      <c r="E86" s="74" t="str">
        <f t="shared" si="14"/>
        <v/>
      </c>
      <c r="F86" s="38" t="str">
        <f t="shared" si="11"/>
        <v/>
      </c>
      <c r="G86" s="74" t="str">
        <f t="shared" si="15"/>
        <v/>
      </c>
      <c r="H86" s="38" t="str">
        <f t="shared" si="12"/>
        <v/>
      </c>
      <c r="I86" s="74" t="str">
        <f t="shared" si="16"/>
        <v/>
      </c>
      <c r="J86" s="69"/>
      <c r="K86" s="70"/>
      <c r="L86" s="69"/>
      <c r="M86" s="70"/>
      <c r="N86" s="69"/>
      <c r="O86" s="70"/>
    </row>
    <row r="87" spans="1:15" s="32" customFormat="1" ht="21" hidden="1" customHeight="1">
      <c r="A87" s="59">
        <v>15</v>
      </c>
      <c r="B87" s="60"/>
      <c r="C87" s="37" t="str">
        <f t="shared" si="10"/>
        <v/>
      </c>
      <c r="D87" s="38" t="str">
        <f t="shared" si="13"/>
        <v/>
      </c>
      <c r="E87" s="74" t="str">
        <f t="shared" si="14"/>
        <v/>
      </c>
      <c r="F87" s="38" t="str">
        <f t="shared" si="11"/>
        <v/>
      </c>
      <c r="G87" s="74" t="str">
        <f t="shared" si="15"/>
        <v/>
      </c>
      <c r="H87" s="38" t="str">
        <f t="shared" si="12"/>
        <v/>
      </c>
      <c r="I87" s="74" t="str">
        <f t="shared" si="16"/>
        <v/>
      </c>
      <c r="J87" s="69"/>
      <c r="K87" s="70"/>
      <c r="L87" s="69"/>
      <c r="M87" s="70"/>
      <c r="N87" s="69"/>
      <c r="O87" s="70"/>
    </row>
    <row r="88" spans="1:15" s="32" customFormat="1" ht="36" hidden="1" customHeight="1">
      <c r="A88" s="59">
        <v>16</v>
      </c>
      <c r="B88" s="60"/>
      <c r="C88" s="37" t="str">
        <f t="shared" si="10"/>
        <v/>
      </c>
      <c r="D88" s="38" t="str">
        <f t="shared" si="13"/>
        <v/>
      </c>
      <c r="E88" s="74" t="str">
        <f t="shared" si="14"/>
        <v/>
      </c>
      <c r="F88" s="38" t="str">
        <f t="shared" si="11"/>
        <v/>
      </c>
      <c r="G88" s="74" t="str">
        <f t="shared" si="15"/>
        <v/>
      </c>
      <c r="H88" s="38" t="str">
        <f t="shared" si="12"/>
        <v/>
      </c>
      <c r="I88" s="74" t="str">
        <f t="shared" si="16"/>
        <v/>
      </c>
      <c r="J88" s="69"/>
      <c r="K88" s="70"/>
      <c r="L88" s="69"/>
      <c r="M88" s="70"/>
      <c r="N88" s="69"/>
      <c r="O88" s="70"/>
    </row>
    <row r="89" spans="1:15" s="32" customFormat="1" ht="21" hidden="1" customHeight="1">
      <c r="A89" s="59">
        <v>17</v>
      </c>
      <c r="B89" s="60"/>
      <c r="C89" s="37" t="str">
        <f t="shared" si="10"/>
        <v/>
      </c>
      <c r="D89" s="38" t="str">
        <f t="shared" si="13"/>
        <v/>
      </c>
      <c r="E89" s="74" t="str">
        <f t="shared" si="14"/>
        <v/>
      </c>
      <c r="F89" s="38" t="str">
        <f t="shared" si="11"/>
        <v/>
      </c>
      <c r="G89" s="74" t="str">
        <f t="shared" si="15"/>
        <v/>
      </c>
      <c r="H89" s="38" t="str">
        <f t="shared" si="12"/>
        <v/>
      </c>
      <c r="I89" s="74" t="str">
        <f t="shared" si="16"/>
        <v/>
      </c>
      <c r="J89" s="69"/>
      <c r="K89" s="70"/>
      <c r="L89" s="69"/>
      <c r="M89" s="70"/>
      <c r="N89" s="69"/>
      <c r="O89" s="70"/>
    </row>
    <row r="90" spans="1:15" s="32" customFormat="1" ht="21" hidden="1" customHeight="1">
      <c r="A90" s="59">
        <v>18</v>
      </c>
      <c r="B90" s="60"/>
      <c r="C90" s="37" t="str">
        <f t="shared" si="10"/>
        <v/>
      </c>
      <c r="D90" s="38" t="str">
        <f t="shared" si="13"/>
        <v/>
      </c>
      <c r="E90" s="74" t="str">
        <f t="shared" si="14"/>
        <v/>
      </c>
      <c r="F90" s="38" t="str">
        <f t="shared" si="11"/>
        <v/>
      </c>
      <c r="G90" s="74" t="str">
        <f t="shared" si="15"/>
        <v/>
      </c>
      <c r="H90" s="38" t="str">
        <f t="shared" si="12"/>
        <v/>
      </c>
      <c r="I90" s="74" t="str">
        <f t="shared" si="16"/>
        <v/>
      </c>
      <c r="J90" s="69"/>
      <c r="K90" s="70"/>
      <c r="L90" s="69"/>
      <c r="M90" s="70"/>
      <c r="N90" s="69"/>
      <c r="O90" s="70"/>
    </row>
    <row r="91" spans="1:15" s="32" customFormat="1" ht="21" hidden="1" customHeight="1">
      <c r="A91" s="59">
        <v>19</v>
      </c>
      <c r="B91" s="60"/>
      <c r="C91" s="37" t="str">
        <f t="shared" si="10"/>
        <v/>
      </c>
      <c r="D91" s="38" t="str">
        <f t="shared" si="13"/>
        <v/>
      </c>
      <c r="E91" s="74" t="str">
        <f t="shared" si="14"/>
        <v/>
      </c>
      <c r="F91" s="38" t="str">
        <f t="shared" si="11"/>
        <v/>
      </c>
      <c r="G91" s="74" t="str">
        <f t="shared" si="15"/>
        <v/>
      </c>
      <c r="H91" s="38" t="str">
        <f t="shared" si="12"/>
        <v/>
      </c>
      <c r="I91" s="74" t="str">
        <f t="shared" si="16"/>
        <v/>
      </c>
      <c r="J91" s="69"/>
      <c r="K91" s="70"/>
      <c r="L91" s="69"/>
      <c r="M91" s="70"/>
      <c r="N91" s="69"/>
      <c r="O91" s="70"/>
    </row>
    <row r="92" spans="1:15" s="32" customFormat="1" ht="21" hidden="1" customHeight="1">
      <c r="A92" s="59">
        <v>20</v>
      </c>
      <c r="B92" s="60"/>
      <c r="C92" s="37" t="str">
        <f t="shared" si="10"/>
        <v/>
      </c>
      <c r="D92" s="38" t="str">
        <f t="shared" si="13"/>
        <v/>
      </c>
      <c r="E92" s="74" t="str">
        <f t="shared" si="14"/>
        <v/>
      </c>
      <c r="F92" s="38" t="str">
        <f t="shared" si="11"/>
        <v/>
      </c>
      <c r="G92" s="74" t="str">
        <f t="shared" si="15"/>
        <v/>
      </c>
      <c r="H92" s="38" t="str">
        <f t="shared" si="12"/>
        <v/>
      </c>
      <c r="I92" s="74" t="str">
        <f t="shared" si="16"/>
        <v/>
      </c>
      <c r="J92" s="69"/>
      <c r="K92" s="70"/>
      <c r="L92" s="69"/>
      <c r="M92" s="70"/>
      <c r="N92" s="69"/>
      <c r="O92" s="70"/>
    </row>
    <row r="93" spans="1:15" s="32" customFormat="1" ht="21" hidden="1" customHeight="1">
      <c r="A93" s="59">
        <v>21</v>
      </c>
      <c r="B93" s="60"/>
      <c r="C93" s="37" t="str">
        <f t="shared" si="10"/>
        <v/>
      </c>
      <c r="D93" s="38" t="str">
        <f t="shared" si="13"/>
        <v/>
      </c>
      <c r="E93" s="74" t="str">
        <f t="shared" si="14"/>
        <v/>
      </c>
      <c r="F93" s="38" t="str">
        <f t="shared" si="11"/>
        <v/>
      </c>
      <c r="G93" s="74" t="str">
        <f t="shared" si="15"/>
        <v/>
      </c>
      <c r="H93" s="38" t="str">
        <f t="shared" si="12"/>
        <v/>
      </c>
      <c r="I93" s="74" t="str">
        <f t="shared" si="16"/>
        <v/>
      </c>
      <c r="J93" s="69"/>
      <c r="K93" s="70"/>
      <c r="L93" s="69"/>
      <c r="M93" s="70"/>
      <c r="N93" s="69"/>
      <c r="O93" s="70"/>
    </row>
    <row r="94" spans="1:15" s="32" customFormat="1" ht="41.25" hidden="1" customHeight="1">
      <c r="A94" s="59">
        <v>22</v>
      </c>
      <c r="B94" s="60"/>
      <c r="C94" s="37" t="str">
        <f t="shared" si="10"/>
        <v/>
      </c>
      <c r="D94" s="38" t="str">
        <f t="shared" si="13"/>
        <v/>
      </c>
      <c r="E94" s="74" t="str">
        <f t="shared" si="14"/>
        <v/>
      </c>
      <c r="F94" s="38" t="str">
        <f t="shared" si="11"/>
        <v/>
      </c>
      <c r="G94" s="74" t="str">
        <f t="shared" si="15"/>
        <v/>
      </c>
      <c r="H94" s="38" t="str">
        <f t="shared" si="12"/>
        <v/>
      </c>
      <c r="I94" s="74" t="str">
        <f t="shared" si="16"/>
        <v/>
      </c>
      <c r="J94" s="69"/>
      <c r="K94" s="70"/>
      <c r="L94" s="69"/>
      <c r="M94" s="70"/>
      <c r="N94" s="69"/>
      <c r="O94" s="70"/>
    </row>
    <row r="95" spans="1:15" s="32" customFormat="1" ht="21" hidden="1" customHeight="1">
      <c r="A95" s="59">
        <v>23</v>
      </c>
      <c r="B95" s="60"/>
      <c r="C95" s="37" t="str">
        <f t="shared" si="10"/>
        <v/>
      </c>
      <c r="D95" s="38" t="str">
        <f t="shared" si="13"/>
        <v/>
      </c>
      <c r="E95" s="74" t="str">
        <f t="shared" si="14"/>
        <v/>
      </c>
      <c r="F95" s="38" t="str">
        <f t="shared" si="11"/>
        <v/>
      </c>
      <c r="G95" s="74" t="str">
        <f t="shared" si="15"/>
        <v/>
      </c>
      <c r="H95" s="38" t="str">
        <f t="shared" si="12"/>
        <v/>
      </c>
      <c r="I95" s="74" t="str">
        <f t="shared" si="16"/>
        <v/>
      </c>
      <c r="J95" s="69"/>
      <c r="K95" s="70"/>
      <c r="L95" s="69"/>
      <c r="M95" s="70"/>
      <c r="N95" s="69"/>
      <c r="O95" s="70"/>
    </row>
    <row r="96" spans="1:15" s="32" customFormat="1" ht="21" hidden="1" customHeight="1">
      <c r="A96" s="59">
        <v>24</v>
      </c>
      <c r="B96" s="60"/>
      <c r="C96" s="37" t="str">
        <f t="shared" si="10"/>
        <v/>
      </c>
      <c r="D96" s="38" t="str">
        <f t="shared" si="13"/>
        <v/>
      </c>
      <c r="E96" s="74" t="str">
        <f t="shared" si="14"/>
        <v/>
      </c>
      <c r="F96" s="38" t="str">
        <f t="shared" si="11"/>
        <v/>
      </c>
      <c r="G96" s="74" t="str">
        <f t="shared" si="15"/>
        <v/>
      </c>
      <c r="H96" s="38" t="str">
        <f t="shared" si="12"/>
        <v/>
      </c>
      <c r="I96" s="74" t="str">
        <f t="shared" si="16"/>
        <v/>
      </c>
      <c r="J96" s="69"/>
      <c r="K96" s="70"/>
      <c r="L96" s="69"/>
      <c r="M96" s="70"/>
      <c r="N96" s="69"/>
      <c r="O96" s="70"/>
    </row>
    <row r="97" spans="1:15" s="32" customFormat="1" ht="33.75" hidden="1" customHeight="1">
      <c r="A97" s="59">
        <v>25</v>
      </c>
      <c r="B97" s="60"/>
      <c r="C97" s="37" t="str">
        <f t="shared" si="10"/>
        <v/>
      </c>
      <c r="D97" s="38" t="str">
        <f t="shared" si="13"/>
        <v/>
      </c>
      <c r="E97" s="74" t="str">
        <f t="shared" si="14"/>
        <v/>
      </c>
      <c r="F97" s="38" t="str">
        <f t="shared" si="11"/>
        <v/>
      </c>
      <c r="G97" s="74" t="str">
        <f t="shared" si="15"/>
        <v/>
      </c>
      <c r="H97" s="38" t="str">
        <f t="shared" si="12"/>
        <v/>
      </c>
      <c r="I97" s="74" t="str">
        <f t="shared" si="16"/>
        <v/>
      </c>
      <c r="J97" s="69"/>
      <c r="K97" s="70"/>
      <c r="L97" s="69"/>
      <c r="M97" s="70"/>
      <c r="N97" s="69"/>
      <c r="O97" s="70"/>
    </row>
    <row r="98" spans="1:15" s="32" customFormat="1" ht="21" hidden="1" customHeight="1">
      <c r="A98" s="59">
        <v>26</v>
      </c>
      <c r="B98" s="60"/>
      <c r="C98" s="37" t="str">
        <f t="shared" si="10"/>
        <v/>
      </c>
      <c r="D98" s="38" t="str">
        <f t="shared" si="13"/>
        <v/>
      </c>
      <c r="E98" s="74" t="str">
        <f t="shared" si="14"/>
        <v/>
      </c>
      <c r="F98" s="38" t="str">
        <f t="shared" si="11"/>
        <v/>
      </c>
      <c r="G98" s="74" t="str">
        <f t="shared" si="15"/>
        <v/>
      </c>
      <c r="H98" s="38" t="str">
        <f t="shared" si="12"/>
        <v/>
      </c>
      <c r="I98" s="74" t="str">
        <f t="shared" si="16"/>
        <v/>
      </c>
      <c r="J98" s="69"/>
      <c r="K98" s="70"/>
      <c r="L98" s="69"/>
      <c r="M98" s="70"/>
      <c r="N98" s="69"/>
      <c r="O98" s="70"/>
    </row>
    <row r="99" spans="1:15" s="32" customFormat="1" ht="38.25" hidden="1" customHeight="1">
      <c r="A99" s="59">
        <v>27</v>
      </c>
      <c r="B99" s="60"/>
      <c r="C99" s="37" t="str">
        <f t="shared" si="10"/>
        <v/>
      </c>
      <c r="D99" s="38" t="str">
        <f t="shared" si="13"/>
        <v/>
      </c>
      <c r="E99" s="74" t="str">
        <f t="shared" si="14"/>
        <v/>
      </c>
      <c r="F99" s="38" t="str">
        <f t="shared" si="11"/>
        <v/>
      </c>
      <c r="G99" s="74" t="str">
        <f t="shared" si="15"/>
        <v/>
      </c>
      <c r="H99" s="38" t="str">
        <f t="shared" si="12"/>
        <v/>
      </c>
      <c r="I99" s="74" t="str">
        <f t="shared" si="16"/>
        <v/>
      </c>
      <c r="J99" s="69"/>
      <c r="K99" s="70"/>
      <c r="L99" s="69"/>
      <c r="M99" s="70"/>
      <c r="N99" s="69"/>
      <c r="O99" s="70"/>
    </row>
    <row r="100" spans="1:15" s="32" customFormat="1" ht="46.5" hidden="1" customHeight="1">
      <c r="A100" s="59">
        <v>28</v>
      </c>
      <c r="B100" s="60"/>
      <c r="C100" s="37" t="str">
        <f t="shared" si="10"/>
        <v/>
      </c>
      <c r="D100" s="38" t="str">
        <f t="shared" si="13"/>
        <v/>
      </c>
      <c r="E100" s="74" t="str">
        <f t="shared" si="14"/>
        <v/>
      </c>
      <c r="F100" s="38" t="str">
        <f t="shared" si="11"/>
        <v/>
      </c>
      <c r="G100" s="74" t="str">
        <f t="shared" si="15"/>
        <v/>
      </c>
      <c r="H100" s="38" t="str">
        <f t="shared" si="12"/>
        <v/>
      </c>
      <c r="I100" s="74" t="str">
        <f t="shared" si="16"/>
        <v/>
      </c>
      <c r="J100" s="69"/>
      <c r="K100" s="70"/>
      <c r="L100" s="69"/>
      <c r="M100" s="70"/>
      <c r="N100" s="69"/>
      <c r="O100" s="70"/>
    </row>
    <row r="101" spans="1:15" s="32" customFormat="1" ht="29.25" hidden="1" customHeight="1">
      <c r="A101" s="59">
        <v>29</v>
      </c>
      <c r="B101" s="60"/>
      <c r="C101" s="37" t="str">
        <f t="shared" si="10"/>
        <v/>
      </c>
      <c r="D101" s="38" t="str">
        <f t="shared" si="13"/>
        <v/>
      </c>
      <c r="E101" s="74" t="str">
        <f t="shared" si="14"/>
        <v/>
      </c>
      <c r="F101" s="38" t="str">
        <f t="shared" si="11"/>
        <v/>
      </c>
      <c r="G101" s="74" t="str">
        <f t="shared" si="15"/>
        <v/>
      </c>
      <c r="H101" s="38" t="str">
        <f t="shared" si="12"/>
        <v/>
      </c>
      <c r="I101" s="74" t="str">
        <f t="shared" si="16"/>
        <v/>
      </c>
      <c r="J101" s="69"/>
      <c r="K101" s="70"/>
      <c r="L101" s="69"/>
      <c r="M101" s="70"/>
      <c r="N101" s="69"/>
      <c r="O101" s="70"/>
    </row>
    <row r="102" spans="1:15" s="32" customFormat="1" ht="40.5" hidden="1" customHeight="1">
      <c r="A102" s="59">
        <v>30</v>
      </c>
      <c r="B102" s="60"/>
      <c r="C102" s="37" t="str">
        <f t="shared" si="10"/>
        <v/>
      </c>
      <c r="D102" s="38" t="str">
        <f t="shared" si="13"/>
        <v/>
      </c>
      <c r="E102" s="74" t="str">
        <f t="shared" si="14"/>
        <v/>
      </c>
      <c r="F102" s="38" t="str">
        <f t="shared" si="11"/>
        <v/>
      </c>
      <c r="G102" s="74" t="str">
        <f t="shared" si="15"/>
        <v/>
      </c>
      <c r="H102" s="38" t="str">
        <f t="shared" si="12"/>
        <v/>
      </c>
      <c r="I102" s="74" t="str">
        <f t="shared" si="16"/>
        <v/>
      </c>
      <c r="J102" s="69"/>
      <c r="K102" s="70"/>
      <c r="L102" s="69"/>
      <c r="M102" s="70"/>
      <c r="N102" s="69"/>
      <c r="O102" s="70"/>
    </row>
    <row r="103" spans="1:15" s="32" customFormat="1" ht="28.5" hidden="1" customHeight="1">
      <c r="A103" s="59">
        <v>31</v>
      </c>
      <c r="B103" s="60"/>
      <c r="C103" s="37" t="str">
        <f t="shared" si="10"/>
        <v/>
      </c>
      <c r="D103" s="38" t="str">
        <f t="shared" si="13"/>
        <v/>
      </c>
      <c r="E103" s="74" t="str">
        <f t="shared" si="14"/>
        <v/>
      </c>
      <c r="F103" s="38" t="str">
        <f t="shared" si="11"/>
        <v/>
      </c>
      <c r="G103" s="74" t="str">
        <f t="shared" si="15"/>
        <v/>
      </c>
      <c r="H103" s="38" t="str">
        <f t="shared" si="12"/>
        <v/>
      </c>
      <c r="I103" s="74" t="str">
        <f t="shared" si="16"/>
        <v/>
      </c>
      <c r="J103" s="69"/>
      <c r="K103" s="70"/>
      <c r="L103" s="69"/>
      <c r="M103" s="70"/>
      <c r="N103" s="69"/>
      <c r="O103" s="70"/>
    </row>
    <row r="104" spans="1:15" s="32" customFormat="1" ht="49.5" hidden="1" customHeight="1">
      <c r="A104" s="59">
        <v>32</v>
      </c>
      <c r="B104" s="60"/>
      <c r="C104" s="37" t="str">
        <f t="shared" si="10"/>
        <v/>
      </c>
      <c r="D104" s="38" t="str">
        <f t="shared" si="13"/>
        <v/>
      </c>
      <c r="E104" s="74" t="str">
        <f t="shared" si="14"/>
        <v/>
      </c>
      <c r="F104" s="38" t="str">
        <f t="shared" si="11"/>
        <v/>
      </c>
      <c r="G104" s="74" t="str">
        <f t="shared" si="15"/>
        <v/>
      </c>
      <c r="H104" s="38" t="str">
        <f t="shared" si="12"/>
        <v/>
      </c>
      <c r="I104" s="74" t="str">
        <f t="shared" si="16"/>
        <v/>
      </c>
      <c r="J104" s="69"/>
      <c r="K104" s="70"/>
      <c r="L104" s="69"/>
      <c r="M104" s="70"/>
      <c r="N104" s="69"/>
      <c r="O104" s="70"/>
    </row>
    <row r="105" spans="1:15" s="32" customFormat="1" ht="21" hidden="1" customHeight="1">
      <c r="A105" s="59">
        <v>33</v>
      </c>
      <c r="B105" s="60"/>
      <c r="C105" s="37" t="str">
        <f t="shared" si="10"/>
        <v/>
      </c>
      <c r="D105" s="38" t="str">
        <f t="shared" ref="D105:D136" si="17">IF($D$8="Habilitado",IF($B105="","",ROUND(VLOOKUP($B105,UNITARIO_1,5,FALSE),2)),"")</f>
        <v/>
      </c>
      <c r="E105" s="74" t="str">
        <f t="shared" si="14"/>
        <v/>
      </c>
      <c r="F105" s="38" t="str">
        <f t="shared" ref="F105:F136" si="18">IF($F$8="Habilitado",IF($B105="","",ROUND(VLOOKUP($B105,UNITARIO_2,5,FALSE),2)),"")</f>
        <v/>
      </c>
      <c r="G105" s="74" t="str">
        <f t="shared" si="15"/>
        <v/>
      </c>
      <c r="H105" s="38" t="str">
        <f t="shared" ref="H105:H136" si="19">IF($H$8="Habilitado",IF($B105="","",ROUND(VLOOKUP($B105,UNITARIO_3,5,FALSE),2)),"")</f>
        <v/>
      </c>
      <c r="I105" s="74" t="str">
        <f t="shared" si="16"/>
        <v/>
      </c>
      <c r="J105" s="69"/>
      <c r="K105" s="70"/>
      <c r="L105" s="69"/>
      <c r="M105" s="70"/>
      <c r="N105" s="69"/>
      <c r="O105" s="70"/>
    </row>
    <row r="106" spans="1:15" s="32" customFormat="1" ht="40.5" hidden="1" customHeight="1">
      <c r="A106" s="59">
        <v>34</v>
      </c>
      <c r="B106" s="60"/>
      <c r="C106" s="37" t="str">
        <f t="shared" si="10"/>
        <v/>
      </c>
      <c r="D106" s="38" t="str">
        <f t="shared" si="17"/>
        <v/>
      </c>
      <c r="E106" s="74" t="str">
        <f t="shared" si="14"/>
        <v/>
      </c>
      <c r="F106" s="38" t="str">
        <f t="shared" si="18"/>
        <v/>
      </c>
      <c r="G106" s="74" t="str">
        <f t="shared" si="15"/>
        <v/>
      </c>
      <c r="H106" s="38" t="str">
        <f t="shared" si="19"/>
        <v/>
      </c>
      <c r="I106" s="74" t="str">
        <f t="shared" si="16"/>
        <v/>
      </c>
      <c r="J106" s="69"/>
      <c r="K106" s="70"/>
      <c r="L106" s="69"/>
      <c r="M106" s="70"/>
      <c r="N106" s="69"/>
      <c r="O106" s="70"/>
    </row>
    <row r="107" spans="1:15" s="32" customFormat="1" ht="43.5" hidden="1" customHeight="1">
      <c r="A107" s="59">
        <v>35</v>
      </c>
      <c r="B107" s="60"/>
      <c r="C107" s="37" t="str">
        <f t="shared" si="10"/>
        <v/>
      </c>
      <c r="D107" s="38" t="str">
        <f t="shared" si="17"/>
        <v/>
      </c>
      <c r="E107" s="74" t="str">
        <f t="shared" si="14"/>
        <v/>
      </c>
      <c r="F107" s="38" t="str">
        <f t="shared" si="18"/>
        <v/>
      </c>
      <c r="G107" s="74" t="str">
        <f t="shared" si="15"/>
        <v/>
      </c>
      <c r="H107" s="38" t="str">
        <f t="shared" si="19"/>
        <v/>
      </c>
      <c r="I107" s="74" t="str">
        <f t="shared" si="16"/>
        <v/>
      </c>
      <c r="J107" s="69"/>
      <c r="K107" s="70"/>
      <c r="L107" s="69"/>
      <c r="M107" s="70"/>
      <c r="N107" s="69"/>
      <c r="O107" s="70"/>
    </row>
    <row r="108" spans="1:15" s="32" customFormat="1" ht="21" hidden="1" customHeight="1">
      <c r="A108" s="59">
        <v>36</v>
      </c>
      <c r="B108" s="34"/>
      <c r="C108" s="37" t="str">
        <f t="shared" si="10"/>
        <v/>
      </c>
      <c r="D108" s="38" t="str">
        <f t="shared" si="17"/>
        <v/>
      </c>
      <c r="E108" s="74" t="str">
        <f t="shared" si="14"/>
        <v/>
      </c>
      <c r="F108" s="38" t="str">
        <f t="shared" si="18"/>
        <v/>
      </c>
      <c r="G108" s="74" t="str">
        <f t="shared" si="15"/>
        <v/>
      </c>
      <c r="H108" s="38" t="str">
        <f t="shared" si="19"/>
        <v/>
      </c>
      <c r="I108" s="74" t="str">
        <f t="shared" si="16"/>
        <v/>
      </c>
      <c r="J108" s="69"/>
      <c r="K108" s="70"/>
      <c r="L108" s="69"/>
      <c r="M108" s="70"/>
      <c r="N108" s="69"/>
      <c r="O108" s="70"/>
    </row>
    <row r="109" spans="1:15" s="32" customFormat="1" ht="21" hidden="1" customHeight="1">
      <c r="A109" s="59">
        <v>37</v>
      </c>
      <c r="B109" s="34"/>
      <c r="C109" s="37" t="str">
        <f t="shared" si="10"/>
        <v/>
      </c>
      <c r="D109" s="38" t="str">
        <f t="shared" si="17"/>
        <v/>
      </c>
      <c r="E109" s="74" t="str">
        <f t="shared" si="14"/>
        <v/>
      </c>
      <c r="F109" s="38" t="str">
        <f t="shared" si="18"/>
        <v/>
      </c>
      <c r="G109" s="74" t="str">
        <f t="shared" si="15"/>
        <v/>
      </c>
      <c r="H109" s="38" t="str">
        <f t="shared" si="19"/>
        <v/>
      </c>
      <c r="I109" s="74" t="str">
        <f t="shared" si="16"/>
        <v/>
      </c>
      <c r="J109" s="69"/>
      <c r="K109" s="70"/>
      <c r="L109" s="69"/>
      <c r="M109" s="70"/>
      <c r="N109" s="69"/>
      <c r="O109" s="70"/>
    </row>
    <row r="110" spans="1:15" s="32" customFormat="1" ht="21" hidden="1" customHeight="1">
      <c r="A110" s="59">
        <v>38</v>
      </c>
      <c r="B110" s="34"/>
      <c r="C110" s="37" t="str">
        <f t="shared" si="10"/>
        <v/>
      </c>
      <c r="D110" s="38" t="str">
        <f t="shared" si="17"/>
        <v/>
      </c>
      <c r="E110" s="74" t="str">
        <f t="shared" si="14"/>
        <v/>
      </c>
      <c r="F110" s="38" t="str">
        <f t="shared" si="18"/>
        <v/>
      </c>
      <c r="G110" s="74" t="str">
        <f t="shared" si="15"/>
        <v/>
      </c>
      <c r="H110" s="38" t="str">
        <f t="shared" si="19"/>
        <v/>
      </c>
      <c r="I110" s="74" t="str">
        <f t="shared" si="16"/>
        <v/>
      </c>
      <c r="J110" s="69"/>
      <c r="K110" s="70"/>
      <c r="L110" s="69"/>
      <c r="M110" s="70"/>
      <c r="N110" s="69"/>
      <c r="O110" s="70"/>
    </row>
    <row r="111" spans="1:15" s="32" customFormat="1" ht="21" hidden="1" customHeight="1">
      <c r="A111" s="59">
        <v>39</v>
      </c>
      <c r="B111" s="34"/>
      <c r="C111" s="37" t="str">
        <f t="shared" si="10"/>
        <v/>
      </c>
      <c r="D111" s="38" t="str">
        <f t="shared" si="17"/>
        <v/>
      </c>
      <c r="E111" s="74" t="str">
        <f t="shared" si="14"/>
        <v/>
      </c>
      <c r="F111" s="38" t="str">
        <f t="shared" si="18"/>
        <v/>
      </c>
      <c r="G111" s="74" t="str">
        <f t="shared" si="15"/>
        <v/>
      </c>
      <c r="H111" s="38" t="str">
        <f t="shared" si="19"/>
        <v/>
      </c>
      <c r="I111" s="74" t="str">
        <f t="shared" si="16"/>
        <v/>
      </c>
      <c r="J111" s="69"/>
      <c r="K111" s="70"/>
      <c r="L111" s="69"/>
      <c r="M111" s="70"/>
      <c r="N111" s="69"/>
      <c r="O111" s="70"/>
    </row>
    <row r="112" spans="1:15" s="32" customFormat="1" ht="21" hidden="1" customHeight="1">
      <c r="A112" s="59">
        <v>40</v>
      </c>
      <c r="B112" s="34"/>
      <c r="C112" s="37" t="str">
        <f t="shared" si="10"/>
        <v/>
      </c>
      <c r="D112" s="38" t="str">
        <f t="shared" si="17"/>
        <v/>
      </c>
      <c r="E112" s="74" t="str">
        <f t="shared" si="14"/>
        <v/>
      </c>
      <c r="F112" s="38" t="str">
        <f t="shared" si="18"/>
        <v/>
      </c>
      <c r="G112" s="74" t="str">
        <f t="shared" si="15"/>
        <v/>
      </c>
      <c r="H112" s="38" t="str">
        <f t="shared" si="19"/>
        <v/>
      </c>
      <c r="I112" s="74" t="str">
        <f t="shared" si="16"/>
        <v/>
      </c>
      <c r="J112" s="69"/>
      <c r="K112" s="70"/>
      <c r="L112" s="69"/>
      <c r="M112" s="70"/>
      <c r="N112" s="69"/>
      <c r="O112" s="70"/>
    </row>
    <row r="113" spans="1:15" s="32" customFormat="1" ht="21" hidden="1" customHeight="1">
      <c r="A113" s="59">
        <v>41</v>
      </c>
      <c r="B113" s="34"/>
      <c r="C113" s="37" t="str">
        <f t="shared" si="10"/>
        <v/>
      </c>
      <c r="D113" s="38" t="str">
        <f t="shared" si="17"/>
        <v/>
      </c>
      <c r="E113" s="74" t="str">
        <f t="shared" si="14"/>
        <v/>
      </c>
      <c r="F113" s="38" t="str">
        <f t="shared" si="18"/>
        <v/>
      </c>
      <c r="G113" s="74" t="str">
        <f t="shared" si="15"/>
        <v/>
      </c>
      <c r="H113" s="38" t="str">
        <f t="shared" si="19"/>
        <v/>
      </c>
      <c r="I113" s="74" t="str">
        <f t="shared" si="16"/>
        <v/>
      </c>
      <c r="J113" s="69"/>
      <c r="K113" s="70"/>
      <c r="L113" s="69"/>
      <c r="M113" s="70"/>
      <c r="N113" s="69"/>
      <c r="O113" s="70"/>
    </row>
    <row r="114" spans="1:15" s="32" customFormat="1" ht="21" hidden="1" customHeight="1">
      <c r="A114" s="59">
        <v>42</v>
      </c>
      <c r="B114" s="34"/>
      <c r="C114" s="37" t="str">
        <f t="shared" si="10"/>
        <v/>
      </c>
      <c r="D114" s="38" t="str">
        <f t="shared" si="17"/>
        <v/>
      </c>
      <c r="E114" s="74" t="str">
        <f t="shared" si="14"/>
        <v/>
      </c>
      <c r="F114" s="38" t="str">
        <f t="shared" si="18"/>
        <v/>
      </c>
      <c r="G114" s="74" t="str">
        <f t="shared" si="15"/>
        <v/>
      </c>
      <c r="H114" s="38" t="str">
        <f t="shared" si="19"/>
        <v/>
      </c>
      <c r="I114" s="74" t="str">
        <f t="shared" si="16"/>
        <v/>
      </c>
      <c r="J114" s="69"/>
      <c r="K114" s="70"/>
      <c r="L114" s="69"/>
      <c r="M114" s="70"/>
      <c r="N114" s="69"/>
      <c r="O114" s="70"/>
    </row>
    <row r="115" spans="1:15" s="32" customFormat="1" ht="21" hidden="1" customHeight="1">
      <c r="A115" s="59">
        <v>43</v>
      </c>
      <c r="B115" s="34"/>
      <c r="C115" s="37" t="str">
        <f t="shared" si="10"/>
        <v/>
      </c>
      <c r="D115" s="38" t="str">
        <f t="shared" si="17"/>
        <v/>
      </c>
      <c r="E115" s="74" t="str">
        <f t="shared" si="14"/>
        <v/>
      </c>
      <c r="F115" s="38" t="str">
        <f t="shared" si="18"/>
        <v/>
      </c>
      <c r="G115" s="74" t="str">
        <f t="shared" si="15"/>
        <v/>
      </c>
      <c r="H115" s="38" t="str">
        <f t="shared" si="19"/>
        <v/>
      </c>
      <c r="I115" s="74" t="str">
        <f t="shared" si="16"/>
        <v/>
      </c>
      <c r="J115" s="69"/>
      <c r="K115" s="70"/>
      <c r="L115" s="69"/>
      <c r="M115" s="70"/>
      <c r="N115" s="69"/>
      <c r="O115" s="70"/>
    </row>
    <row r="116" spans="1:15" s="32" customFormat="1" ht="21" hidden="1" customHeight="1">
      <c r="A116" s="59">
        <v>44</v>
      </c>
      <c r="B116" s="34"/>
      <c r="C116" s="37" t="str">
        <f t="shared" si="10"/>
        <v/>
      </c>
      <c r="D116" s="38" t="str">
        <f t="shared" si="17"/>
        <v/>
      </c>
      <c r="E116" s="74" t="str">
        <f t="shared" si="14"/>
        <v/>
      </c>
      <c r="F116" s="38" t="str">
        <f t="shared" si="18"/>
        <v/>
      </c>
      <c r="G116" s="74" t="str">
        <f t="shared" si="15"/>
        <v/>
      </c>
      <c r="H116" s="38" t="str">
        <f t="shared" si="19"/>
        <v/>
      </c>
      <c r="I116" s="74" t="str">
        <f t="shared" si="16"/>
        <v/>
      </c>
      <c r="J116" s="69"/>
      <c r="K116" s="70"/>
      <c r="L116" s="69"/>
      <c r="M116" s="70"/>
      <c r="N116" s="69"/>
      <c r="O116" s="70"/>
    </row>
    <row r="117" spans="1:15" s="32" customFormat="1" ht="21" hidden="1" customHeight="1">
      <c r="A117" s="59">
        <v>45</v>
      </c>
      <c r="B117" s="34"/>
      <c r="C117" s="37" t="str">
        <f t="shared" si="10"/>
        <v/>
      </c>
      <c r="D117" s="38" t="str">
        <f t="shared" si="17"/>
        <v/>
      </c>
      <c r="E117" s="74" t="str">
        <f t="shared" si="14"/>
        <v/>
      </c>
      <c r="F117" s="38" t="str">
        <f t="shared" si="18"/>
        <v/>
      </c>
      <c r="G117" s="74" t="str">
        <f t="shared" si="15"/>
        <v/>
      </c>
      <c r="H117" s="38" t="str">
        <f t="shared" si="19"/>
        <v/>
      </c>
      <c r="I117" s="74" t="str">
        <f t="shared" si="16"/>
        <v/>
      </c>
      <c r="J117" s="69"/>
      <c r="K117" s="70"/>
      <c r="L117" s="69"/>
      <c r="M117" s="70"/>
      <c r="N117" s="69"/>
      <c r="O117" s="70"/>
    </row>
    <row r="118" spans="1:15" s="32" customFormat="1" ht="21" hidden="1" customHeight="1">
      <c r="A118" s="59">
        <v>46</v>
      </c>
      <c r="B118" s="34"/>
      <c r="C118" s="37" t="str">
        <f t="shared" si="10"/>
        <v/>
      </c>
      <c r="D118" s="38" t="str">
        <f t="shared" si="17"/>
        <v/>
      </c>
      <c r="E118" s="74" t="str">
        <f t="shared" si="14"/>
        <v/>
      </c>
      <c r="F118" s="38" t="str">
        <f t="shared" si="18"/>
        <v/>
      </c>
      <c r="G118" s="74" t="str">
        <f t="shared" si="15"/>
        <v/>
      </c>
      <c r="H118" s="38" t="str">
        <f t="shared" si="19"/>
        <v/>
      </c>
      <c r="I118" s="74" t="str">
        <f t="shared" si="16"/>
        <v/>
      </c>
      <c r="J118" s="69"/>
      <c r="K118" s="70"/>
      <c r="L118" s="69"/>
      <c r="M118" s="70"/>
      <c r="N118" s="69"/>
      <c r="O118" s="70"/>
    </row>
    <row r="119" spans="1:15" s="32" customFormat="1" ht="21" hidden="1" customHeight="1">
      <c r="A119" s="59">
        <v>47</v>
      </c>
      <c r="B119" s="34"/>
      <c r="C119" s="37" t="str">
        <f t="shared" si="10"/>
        <v/>
      </c>
      <c r="D119" s="38" t="str">
        <f t="shared" si="17"/>
        <v/>
      </c>
      <c r="E119" s="74" t="str">
        <f t="shared" si="14"/>
        <v/>
      </c>
      <c r="F119" s="38" t="str">
        <f t="shared" si="18"/>
        <v/>
      </c>
      <c r="G119" s="74" t="str">
        <f t="shared" si="15"/>
        <v/>
      </c>
      <c r="H119" s="38" t="str">
        <f t="shared" si="19"/>
        <v/>
      </c>
      <c r="I119" s="74" t="str">
        <f t="shared" si="16"/>
        <v/>
      </c>
      <c r="J119" s="69"/>
      <c r="K119" s="70"/>
      <c r="L119" s="69"/>
      <c r="M119" s="70"/>
      <c r="N119" s="69"/>
      <c r="O119" s="70"/>
    </row>
    <row r="120" spans="1:15" s="32" customFormat="1" ht="21" hidden="1" customHeight="1">
      <c r="A120" s="59">
        <v>48</v>
      </c>
      <c r="B120" s="34"/>
      <c r="C120" s="37" t="str">
        <f t="shared" si="10"/>
        <v/>
      </c>
      <c r="D120" s="38" t="str">
        <f t="shared" si="17"/>
        <v/>
      </c>
      <c r="E120" s="74" t="str">
        <f t="shared" si="14"/>
        <v/>
      </c>
      <c r="F120" s="38" t="str">
        <f t="shared" si="18"/>
        <v/>
      </c>
      <c r="G120" s="74" t="str">
        <f t="shared" si="15"/>
        <v/>
      </c>
      <c r="H120" s="38" t="str">
        <f t="shared" si="19"/>
        <v/>
      </c>
      <c r="I120" s="74" t="str">
        <f t="shared" si="16"/>
        <v/>
      </c>
      <c r="J120" s="69"/>
      <c r="K120" s="70"/>
      <c r="L120" s="69"/>
      <c r="M120" s="70"/>
      <c r="N120" s="69"/>
      <c r="O120" s="70"/>
    </row>
    <row r="121" spans="1:15" s="32" customFormat="1" ht="21" hidden="1" customHeight="1">
      <c r="A121" s="59">
        <v>49</v>
      </c>
      <c r="B121" s="34"/>
      <c r="C121" s="37" t="str">
        <f t="shared" si="10"/>
        <v/>
      </c>
      <c r="D121" s="38" t="str">
        <f t="shared" si="17"/>
        <v/>
      </c>
      <c r="E121" s="74" t="str">
        <f t="shared" si="14"/>
        <v/>
      </c>
      <c r="F121" s="38" t="str">
        <f t="shared" si="18"/>
        <v/>
      </c>
      <c r="G121" s="74" t="str">
        <f t="shared" si="15"/>
        <v/>
      </c>
      <c r="H121" s="38" t="str">
        <f t="shared" si="19"/>
        <v/>
      </c>
      <c r="I121" s="74" t="str">
        <f t="shared" si="16"/>
        <v/>
      </c>
      <c r="J121" s="69"/>
      <c r="K121" s="70"/>
      <c r="L121" s="69"/>
      <c r="M121" s="70"/>
      <c r="N121" s="69"/>
      <c r="O121" s="70"/>
    </row>
    <row r="122" spans="1:15" s="32" customFormat="1" ht="21" hidden="1" customHeight="1">
      <c r="A122" s="59">
        <v>50</v>
      </c>
      <c r="B122" s="34"/>
      <c r="C122" s="37" t="str">
        <f t="shared" si="10"/>
        <v/>
      </c>
      <c r="D122" s="38" t="str">
        <f t="shared" si="17"/>
        <v/>
      </c>
      <c r="E122" s="74" t="str">
        <f t="shared" si="14"/>
        <v/>
      </c>
      <c r="F122" s="38" t="str">
        <f t="shared" si="18"/>
        <v/>
      </c>
      <c r="G122" s="74" t="str">
        <f t="shared" si="15"/>
        <v/>
      </c>
      <c r="H122" s="38" t="str">
        <f t="shared" si="19"/>
        <v/>
      </c>
      <c r="I122" s="74" t="str">
        <f t="shared" si="16"/>
        <v/>
      </c>
      <c r="J122" s="69"/>
      <c r="K122" s="70"/>
      <c r="L122" s="69"/>
      <c r="M122" s="70"/>
      <c r="N122" s="69"/>
      <c r="O122" s="70"/>
    </row>
    <row r="123" spans="1:15" s="32" customFormat="1" ht="21" hidden="1" customHeight="1">
      <c r="A123" s="59">
        <v>51</v>
      </c>
      <c r="B123" s="34"/>
      <c r="C123" s="37" t="str">
        <f t="shared" si="10"/>
        <v/>
      </c>
      <c r="D123" s="38" t="str">
        <f t="shared" si="17"/>
        <v/>
      </c>
      <c r="E123" s="74" t="str">
        <f t="shared" si="14"/>
        <v/>
      </c>
      <c r="F123" s="38" t="str">
        <f t="shared" si="18"/>
        <v/>
      </c>
      <c r="G123" s="74" t="str">
        <f t="shared" si="15"/>
        <v/>
      </c>
      <c r="H123" s="38" t="str">
        <f t="shared" si="19"/>
        <v/>
      </c>
      <c r="I123" s="74" t="str">
        <f t="shared" si="16"/>
        <v/>
      </c>
      <c r="J123" s="69"/>
      <c r="K123" s="70"/>
      <c r="L123" s="69"/>
      <c r="M123" s="70"/>
      <c r="N123" s="69"/>
      <c r="O123" s="70"/>
    </row>
    <row r="124" spans="1:15" s="32" customFormat="1" ht="21" hidden="1" customHeight="1">
      <c r="A124" s="59">
        <v>52</v>
      </c>
      <c r="B124" s="34"/>
      <c r="C124" s="37" t="str">
        <f t="shared" si="10"/>
        <v/>
      </c>
      <c r="D124" s="38" t="str">
        <f t="shared" si="17"/>
        <v/>
      </c>
      <c r="E124" s="74" t="str">
        <f t="shared" si="14"/>
        <v/>
      </c>
      <c r="F124" s="38" t="str">
        <f t="shared" si="18"/>
        <v/>
      </c>
      <c r="G124" s="74" t="str">
        <f t="shared" si="15"/>
        <v/>
      </c>
      <c r="H124" s="38" t="str">
        <f t="shared" si="19"/>
        <v/>
      </c>
      <c r="I124" s="74" t="str">
        <f t="shared" si="16"/>
        <v/>
      </c>
      <c r="J124" s="69"/>
      <c r="K124" s="70"/>
      <c r="L124" s="69"/>
      <c r="M124" s="70"/>
      <c r="N124" s="69"/>
      <c r="O124" s="70"/>
    </row>
    <row r="125" spans="1:15" s="32" customFormat="1" ht="21" hidden="1" customHeight="1">
      <c r="A125" s="59">
        <v>53</v>
      </c>
      <c r="B125" s="34"/>
      <c r="C125" s="37" t="str">
        <f t="shared" si="10"/>
        <v/>
      </c>
      <c r="D125" s="38" t="str">
        <f t="shared" si="17"/>
        <v/>
      </c>
      <c r="E125" s="74" t="str">
        <f t="shared" si="14"/>
        <v/>
      </c>
      <c r="F125" s="38" t="str">
        <f t="shared" si="18"/>
        <v/>
      </c>
      <c r="G125" s="74" t="str">
        <f t="shared" si="15"/>
        <v/>
      </c>
      <c r="H125" s="38" t="str">
        <f t="shared" si="19"/>
        <v/>
      </c>
      <c r="I125" s="74" t="str">
        <f t="shared" si="16"/>
        <v/>
      </c>
      <c r="J125" s="69"/>
      <c r="K125" s="70"/>
      <c r="L125" s="69"/>
      <c r="M125" s="70"/>
      <c r="N125" s="69"/>
      <c r="O125" s="70"/>
    </row>
    <row r="126" spans="1:15" s="32" customFormat="1" ht="21" hidden="1" customHeight="1">
      <c r="A126" s="59">
        <v>54</v>
      </c>
      <c r="B126" s="34"/>
      <c r="C126" s="37" t="str">
        <f t="shared" si="10"/>
        <v/>
      </c>
      <c r="D126" s="38" t="str">
        <f t="shared" si="17"/>
        <v/>
      </c>
      <c r="E126" s="74" t="str">
        <f t="shared" si="14"/>
        <v/>
      </c>
      <c r="F126" s="38" t="str">
        <f t="shared" si="18"/>
        <v/>
      </c>
      <c r="G126" s="74" t="str">
        <f t="shared" si="15"/>
        <v/>
      </c>
      <c r="H126" s="38" t="str">
        <f t="shared" si="19"/>
        <v/>
      </c>
      <c r="I126" s="74" t="str">
        <f t="shared" si="16"/>
        <v/>
      </c>
      <c r="J126" s="69"/>
      <c r="K126" s="70"/>
      <c r="L126" s="69"/>
      <c r="M126" s="70"/>
      <c r="N126" s="69"/>
      <c r="O126" s="70"/>
    </row>
    <row r="127" spans="1:15" s="32" customFormat="1" ht="21" hidden="1" customHeight="1">
      <c r="A127" s="59">
        <v>55</v>
      </c>
      <c r="B127" s="34"/>
      <c r="C127" s="37" t="str">
        <f t="shared" si="10"/>
        <v/>
      </c>
      <c r="D127" s="38" t="str">
        <f t="shared" si="17"/>
        <v/>
      </c>
      <c r="E127" s="74" t="str">
        <f t="shared" si="14"/>
        <v/>
      </c>
      <c r="F127" s="38" t="str">
        <f t="shared" si="18"/>
        <v/>
      </c>
      <c r="G127" s="74" t="str">
        <f t="shared" si="15"/>
        <v/>
      </c>
      <c r="H127" s="38" t="str">
        <f t="shared" si="19"/>
        <v/>
      </c>
      <c r="I127" s="74" t="str">
        <f t="shared" si="16"/>
        <v/>
      </c>
      <c r="J127" s="69"/>
      <c r="K127" s="70"/>
      <c r="L127" s="69"/>
      <c r="M127" s="70"/>
      <c r="N127" s="69"/>
      <c r="O127" s="70"/>
    </row>
    <row r="128" spans="1:15" s="32" customFormat="1" ht="21" hidden="1" customHeight="1">
      <c r="A128" s="59">
        <v>56</v>
      </c>
      <c r="B128" s="34"/>
      <c r="C128" s="37" t="str">
        <f t="shared" si="10"/>
        <v/>
      </c>
      <c r="D128" s="38" t="str">
        <f t="shared" si="17"/>
        <v/>
      </c>
      <c r="E128" s="74" t="str">
        <f t="shared" si="14"/>
        <v/>
      </c>
      <c r="F128" s="38" t="str">
        <f t="shared" si="18"/>
        <v/>
      </c>
      <c r="G128" s="74" t="str">
        <f t="shared" si="15"/>
        <v/>
      </c>
      <c r="H128" s="38" t="str">
        <f t="shared" si="19"/>
        <v/>
      </c>
      <c r="I128" s="74" t="str">
        <f t="shared" si="16"/>
        <v/>
      </c>
      <c r="J128" s="69"/>
      <c r="K128" s="70"/>
      <c r="L128" s="69"/>
      <c r="M128" s="70"/>
      <c r="N128" s="69"/>
      <c r="O128" s="70"/>
    </row>
    <row r="129" spans="1:15" s="32" customFormat="1" ht="21" hidden="1" customHeight="1">
      <c r="A129" s="59">
        <v>57</v>
      </c>
      <c r="B129" s="34"/>
      <c r="C129" s="37" t="str">
        <f t="shared" si="10"/>
        <v/>
      </c>
      <c r="D129" s="38" t="str">
        <f t="shared" si="17"/>
        <v/>
      </c>
      <c r="E129" s="74" t="str">
        <f t="shared" si="14"/>
        <v/>
      </c>
      <c r="F129" s="38" t="str">
        <f t="shared" si="18"/>
        <v/>
      </c>
      <c r="G129" s="74" t="str">
        <f t="shared" si="15"/>
        <v/>
      </c>
      <c r="H129" s="38" t="str">
        <f t="shared" si="19"/>
        <v/>
      </c>
      <c r="I129" s="74" t="str">
        <f t="shared" si="16"/>
        <v/>
      </c>
      <c r="J129" s="69"/>
      <c r="K129" s="70"/>
      <c r="L129" s="69"/>
      <c r="M129" s="70"/>
      <c r="N129" s="69"/>
      <c r="O129" s="70"/>
    </row>
    <row r="130" spans="1:15" s="32" customFormat="1" ht="21" hidden="1" customHeight="1">
      <c r="A130" s="59">
        <v>58</v>
      </c>
      <c r="B130" s="34"/>
      <c r="C130" s="37" t="str">
        <f t="shared" si="10"/>
        <v/>
      </c>
      <c r="D130" s="38" t="str">
        <f t="shared" si="17"/>
        <v/>
      </c>
      <c r="E130" s="74" t="str">
        <f t="shared" si="14"/>
        <v/>
      </c>
      <c r="F130" s="38" t="str">
        <f t="shared" si="18"/>
        <v/>
      </c>
      <c r="G130" s="74" t="str">
        <f t="shared" si="15"/>
        <v/>
      </c>
      <c r="H130" s="38" t="str">
        <f t="shared" si="19"/>
        <v/>
      </c>
      <c r="I130" s="74" t="str">
        <f t="shared" si="16"/>
        <v/>
      </c>
      <c r="J130" s="69"/>
      <c r="K130" s="70"/>
      <c r="L130" s="69"/>
      <c r="M130" s="70"/>
      <c r="N130" s="69"/>
      <c r="O130" s="70"/>
    </row>
    <row r="131" spans="1:15" s="32" customFormat="1" ht="21" hidden="1" customHeight="1">
      <c r="A131" s="59">
        <v>59</v>
      </c>
      <c r="B131" s="34"/>
      <c r="C131" s="37" t="str">
        <f t="shared" si="10"/>
        <v/>
      </c>
      <c r="D131" s="38" t="str">
        <f t="shared" si="17"/>
        <v/>
      </c>
      <c r="E131" s="74" t="str">
        <f t="shared" si="14"/>
        <v/>
      </c>
      <c r="F131" s="38" t="str">
        <f t="shared" si="18"/>
        <v/>
      </c>
      <c r="G131" s="74" t="str">
        <f t="shared" si="15"/>
        <v/>
      </c>
      <c r="H131" s="38" t="str">
        <f t="shared" si="19"/>
        <v/>
      </c>
      <c r="I131" s="74" t="str">
        <f t="shared" si="16"/>
        <v/>
      </c>
      <c r="J131" s="69"/>
      <c r="K131" s="70"/>
      <c r="L131" s="69"/>
      <c r="M131" s="70"/>
      <c r="N131" s="69"/>
      <c r="O131" s="70"/>
    </row>
    <row r="132" spans="1:15" s="32" customFormat="1" ht="21" hidden="1" customHeight="1">
      <c r="A132" s="59">
        <v>60</v>
      </c>
      <c r="B132" s="34"/>
      <c r="C132" s="37" t="str">
        <f t="shared" si="10"/>
        <v/>
      </c>
      <c r="D132" s="38" t="str">
        <f t="shared" si="17"/>
        <v/>
      </c>
      <c r="E132" s="74" t="str">
        <f t="shared" si="14"/>
        <v/>
      </c>
      <c r="F132" s="38" t="str">
        <f t="shared" si="18"/>
        <v/>
      </c>
      <c r="G132" s="74" t="str">
        <f t="shared" si="15"/>
        <v/>
      </c>
      <c r="H132" s="38" t="str">
        <f t="shared" si="19"/>
        <v/>
      </c>
      <c r="I132" s="74" t="str">
        <f t="shared" si="16"/>
        <v/>
      </c>
      <c r="J132" s="69"/>
      <c r="K132" s="70"/>
      <c r="L132" s="69"/>
      <c r="M132" s="70"/>
      <c r="N132" s="69"/>
      <c r="O132" s="70"/>
    </row>
    <row r="133" spans="1:15" s="32" customFormat="1" ht="21" hidden="1" customHeight="1">
      <c r="A133" s="59">
        <v>61</v>
      </c>
      <c r="B133" s="34"/>
      <c r="C133" s="37" t="str">
        <f t="shared" si="10"/>
        <v/>
      </c>
      <c r="D133" s="38" t="str">
        <f t="shared" si="17"/>
        <v/>
      </c>
      <c r="E133" s="74" t="str">
        <f t="shared" si="14"/>
        <v/>
      </c>
      <c r="F133" s="38" t="str">
        <f t="shared" si="18"/>
        <v/>
      </c>
      <c r="G133" s="74" t="str">
        <f t="shared" si="15"/>
        <v/>
      </c>
      <c r="H133" s="38" t="str">
        <f t="shared" si="19"/>
        <v/>
      </c>
      <c r="I133" s="74" t="str">
        <f t="shared" si="16"/>
        <v/>
      </c>
      <c r="J133" s="69"/>
      <c r="K133" s="70"/>
      <c r="L133" s="69"/>
      <c r="M133" s="70"/>
      <c r="N133" s="69"/>
      <c r="O133" s="70"/>
    </row>
    <row r="134" spans="1:15" s="32" customFormat="1" ht="21" hidden="1" customHeight="1">
      <c r="A134" s="59">
        <v>62</v>
      </c>
      <c r="B134" s="34"/>
      <c r="C134" s="37" t="str">
        <f t="shared" si="10"/>
        <v/>
      </c>
      <c r="D134" s="38" t="str">
        <f t="shared" si="17"/>
        <v/>
      </c>
      <c r="E134" s="74" t="str">
        <f t="shared" si="14"/>
        <v/>
      </c>
      <c r="F134" s="38" t="str">
        <f t="shared" si="18"/>
        <v/>
      </c>
      <c r="G134" s="74" t="str">
        <f t="shared" si="15"/>
        <v/>
      </c>
      <c r="H134" s="38" t="str">
        <f t="shared" si="19"/>
        <v/>
      </c>
      <c r="I134" s="74" t="str">
        <f t="shared" si="16"/>
        <v/>
      </c>
      <c r="J134" s="69"/>
      <c r="K134" s="70"/>
      <c r="L134" s="69"/>
      <c r="M134" s="70"/>
      <c r="N134" s="69"/>
      <c r="O134" s="70"/>
    </row>
    <row r="135" spans="1:15" s="32" customFormat="1" ht="21" hidden="1" customHeight="1">
      <c r="A135" s="59">
        <v>63</v>
      </c>
      <c r="B135" s="34"/>
      <c r="C135" s="37" t="str">
        <f t="shared" si="10"/>
        <v/>
      </c>
      <c r="D135" s="38" t="str">
        <f t="shared" si="17"/>
        <v/>
      </c>
      <c r="E135" s="74" t="str">
        <f t="shared" si="14"/>
        <v/>
      </c>
      <c r="F135" s="38" t="str">
        <f t="shared" si="18"/>
        <v/>
      </c>
      <c r="G135" s="74" t="str">
        <f t="shared" si="15"/>
        <v/>
      </c>
      <c r="H135" s="38" t="str">
        <f t="shared" si="19"/>
        <v/>
      </c>
      <c r="I135" s="74" t="str">
        <f t="shared" si="16"/>
        <v/>
      </c>
      <c r="J135" s="69"/>
      <c r="K135" s="70"/>
      <c r="L135" s="69"/>
      <c r="M135" s="70"/>
      <c r="N135" s="69"/>
      <c r="O135" s="70"/>
    </row>
    <row r="136" spans="1:15" s="32" customFormat="1" ht="21" hidden="1" customHeight="1">
      <c r="A136" s="59">
        <v>64</v>
      </c>
      <c r="B136" s="34"/>
      <c r="C136" s="37" t="str">
        <f t="shared" si="10"/>
        <v/>
      </c>
      <c r="D136" s="38" t="str">
        <f t="shared" si="17"/>
        <v/>
      </c>
      <c r="E136" s="74" t="str">
        <f t="shared" si="14"/>
        <v/>
      </c>
      <c r="F136" s="38" t="str">
        <f t="shared" si="18"/>
        <v/>
      </c>
      <c r="G136" s="74" t="str">
        <f t="shared" si="15"/>
        <v/>
      </c>
      <c r="H136" s="38" t="str">
        <f t="shared" si="19"/>
        <v/>
      </c>
      <c r="I136" s="74" t="str">
        <f t="shared" si="16"/>
        <v/>
      </c>
      <c r="J136" s="69"/>
      <c r="K136" s="70"/>
      <c r="L136" s="69"/>
      <c r="M136" s="70"/>
      <c r="N136" s="69"/>
      <c r="O136" s="70"/>
    </row>
    <row r="137" spans="1:15" s="32" customFormat="1" ht="21" hidden="1" customHeight="1">
      <c r="A137" s="59">
        <v>65</v>
      </c>
      <c r="B137" s="34"/>
      <c r="C137" s="37" t="str">
        <f t="shared" ref="C137:C162" si="20">IF(B137="","",IF($L$4="Media aritmética",ROUND(AVERAGE(D137,F137,H137),2),ROUND(_xlfn.STDEV.P(D137,F137,H137),2)))</f>
        <v/>
      </c>
      <c r="D137" s="38" t="str">
        <f t="shared" ref="D137:D162" si="21">IF($D$8="Habilitado",IF($B137="","",ROUND(VLOOKUP($B137,UNITARIO_1,5,FALSE),2)),"")</f>
        <v/>
      </c>
      <c r="E137" s="74" t="str">
        <f t="shared" si="14"/>
        <v/>
      </c>
      <c r="F137" s="38" t="str">
        <f t="shared" ref="F137:F162" si="22">IF($F$8="Habilitado",IF($B137="","",ROUND(VLOOKUP($B137,UNITARIO_2,5,FALSE),2)),"")</f>
        <v/>
      </c>
      <c r="G137" s="74" t="str">
        <f t="shared" si="15"/>
        <v/>
      </c>
      <c r="H137" s="38" t="str">
        <f t="shared" ref="H137:H162" si="23">IF($H$8="Habilitado",IF($B137="","",ROUND(VLOOKUP($B137,UNITARIO_3,5,FALSE),2)),"")</f>
        <v/>
      </c>
      <c r="I137" s="74" t="str">
        <f t="shared" si="16"/>
        <v/>
      </c>
      <c r="J137" s="69"/>
      <c r="K137" s="70"/>
      <c r="L137" s="69"/>
      <c r="M137" s="70"/>
      <c r="N137" s="69"/>
      <c r="O137" s="70"/>
    </row>
    <row r="138" spans="1:15" s="32" customFormat="1" ht="21" hidden="1" customHeight="1">
      <c r="A138" s="59">
        <v>66</v>
      </c>
      <c r="B138" s="34"/>
      <c r="C138" s="37" t="str">
        <f t="shared" si="20"/>
        <v/>
      </c>
      <c r="D138" s="38" t="str">
        <f t="shared" si="21"/>
        <v/>
      </c>
      <c r="E138" s="74" t="str">
        <f t="shared" ref="E138:E162" si="24">IF($B138="","",IF(D138="","",IF($L$4="Media aritmética",(D138&lt;=$C138)*($H$5/$C$5)+(D138&gt;$C138)*0,IF(AND(ROUND(AVERAGE($D138,$F138,$H138),2)-$C138/2&lt;=D138,(ROUND(AVERAGE($D138,$F138,$H138),2)+$C138/2&gt;D138)),($H$5/$C$5),0))))</f>
        <v/>
      </c>
      <c r="F138" s="38" t="str">
        <f t="shared" si="22"/>
        <v/>
      </c>
      <c r="G138" s="74" t="str">
        <f t="shared" ref="G138:G162" si="25">IF($B138="","",IF(F138="","",IF($L$4="Media aritmética",(F138&lt;=$C138)*($H$5/$C$5)+(F138&gt;$C138)*0,IF(AND(ROUND(AVERAGE($D138,$F138,$H138),2)-$C138/2&lt;=F138,(ROUND(AVERAGE($D138,$F138,$H138),2)+$C138/2&gt;F138)),($H$5/$C$5),0))))</f>
        <v/>
      </c>
      <c r="H138" s="38" t="str">
        <f t="shared" si="23"/>
        <v/>
      </c>
      <c r="I138" s="74" t="str">
        <f t="shared" ref="I138:I162" si="26">IF($B138="","",IF(H138="","",IF($L$4="Media aritmética",(H138&lt;=$C138)*($H$5/$C$5)+(H138&gt;$C138)*0,IF(AND(ROUND(AVERAGE($D138,$F138,$H138),2)-$C138/2&lt;=H138,(ROUND(AVERAGE($D138,$F138,$H138),2)+$C138/2&gt;H138)),($H$5/$C$5),0))))</f>
        <v/>
      </c>
      <c r="J138" s="69"/>
      <c r="K138" s="70"/>
      <c r="L138" s="69"/>
      <c r="M138" s="70"/>
      <c r="N138" s="69"/>
      <c r="O138" s="70"/>
    </row>
    <row r="139" spans="1:15" s="32" customFormat="1" ht="21" hidden="1" customHeight="1">
      <c r="A139" s="59">
        <v>67</v>
      </c>
      <c r="B139" s="34"/>
      <c r="C139" s="37" t="str">
        <f t="shared" si="20"/>
        <v/>
      </c>
      <c r="D139" s="38" t="str">
        <f t="shared" si="21"/>
        <v/>
      </c>
      <c r="E139" s="74" t="str">
        <f t="shared" si="24"/>
        <v/>
      </c>
      <c r="F139" s="38" t="str">
        <f t="shared" si="22"/>
        <v/>
      </c>
      <c r="G139" s="74" t="str">
        <f t="shared" si="25"/>
        <v/>
      </c>
      <c r="H139" s="38" t="str">
        <f t="shared" si="23"/>
        <v/>
      </c>
      <c r="I139" s="74" t="str">
        <f t="shared" si="26"/>
        <v/>
      </c>
      <c r="J139" s="69"/>
      <c r="K139" s="70"/>
      <c r="L139" s="69"/>
      <c r="M139" s="70"/>
      <c r="N139" s="69"/>
      <c r="O139" s="70"/>
    </row>
    <row r="140" spans="1:15" s="32" customFormat="1" ht="21" hidden="1" customHeight="1">
      <c r="A140" s="59">
        <v>68</v>
      </c>
      <c r="B140" s="34"/>
      <c r="C140" s="37" t="str">
        <f t="shared" si="20"/>
        <v/>
      </c>
      <c r="D140" s="38" t="str">
        <f t="shared" si="21"/>
        <v/>
      </c>
      <c r="E140" s="74" t="str">
        <f t="shared" si="24"/>
        <v/>
      </c>
      <c r="F140" s="38" t="str">
        <f t="shared" si="22"/>
        <v/>
      </c>
      <c r="G140" s="74" t="str">
        <f t="shared" si="25"/>
        <v/>
      </c>
      <c r="H140" s="38" t="str">
        <f t="shared" si="23"/>
        <v/>
      </c>
      <c r="I140" s="74" t="str">
        <f t="shared" si="26"/>
        <v/>
      </c>
      <c r="J140" s="69"/>
      <c r="K140" s="70"/>
      <c r="L140" s="69"/>
      <c r="M140" s="70"/>
      <c r="N140" s="69"/>
      <c r="O140" s="70"/>
    </row>
    <row r="141" spans="1:15" s="32" customFormat="1" ht="21" hidden="1" customHeight="1">
      <c r="A141" s="59">
        <v>69</v>
      </c>
      <c r="B141" s="34"/>
      <c r="C141" s="37" t="str">
        <f t="shared" si="20"/>
        <v/>
      </c>
      <c r="D141" s="38" t="str">
        <f t="shared" si="21"/>
        <v/>
      </c>
      <c r="E141" s="74" t="str">
        <f t="shared" si="24"/>
        <v/>
      </c>
      <c r="F141" s="38" t="str">
        <f t="shared" si="22"/>
        <v/>
      </c>
      <c r="G141" s="74" t="str">
        <f t="shared" si="25"/>
        <v/>
      </c>
      <c r="H141" s="38" t="str">
        <f t="shared" si="23"/>
        <v/>
      </c>
      <c r="I141" s="74" t="str">
        <f t="shared" si="26"/>
        <v/>
      </c>
      <c r="J141" s="69"/>
      <c r="K141" s="70"/>
      <c r="L141" s="69"/>
      <c r="M141" s="70"/>
      <c r="N141" s="69"/>
      <c r="O141" s="70"/>
    </row>
    <row r="142" spans="1:15" s="32" customFormat="1" ht="21" hidden="1" customHeight="1">
      <c r="A142" s="59">
        <v>70</v>
      </c>
      <c r="B142" s="34"/>
      <c r="C142" s="37" t="str">
        <f t="shared" si="20"/>
        <v/>
      </c>
      <c r="D142" s="38" t="str">
        <f t="shared" si="21"/>
        <v/>
      </c>
      <c r="E142" s="74" t="str">
        <f t="shared" si="24"/>
        <v/>
      </c>
      <c r="F142" s="38" t="str">
        <f t="shared" si="22"/>
        <v/>
      </c>
      <c r="G142" s="74" t="str">
        <f t="shared" si="25"/>
        <v/>
      </c>
      <c r="H142" s="38" t="str">
        <f t="shared" si="23"/>
        <v/>
      </c>
      <c r="I142" s="74" t="str">
        <f t="shared" si="26"/>
        <v/>
      </c>
      <c r="J142" s="69"/>
      <c r="K142" s="70"/>
      <c r="L142" s="69"/>
      <c r="M142" s="70"/>
      <c r="N142" s="69"/>
      <c r="O142" s="70"/>
    </row>
    <row r="143" spans="1:15" s="32" customFormat="1" ht="21" hidden="1" customHeight="1">
      <c r="A143" s="59">
        <v>71</v>
      </c>
      <c r="B143" s="34"/>
      <c r="C143" s="37" t="str">
        <f t="shared" si="20"/>
        <v/>
      </c>
      <c r="D143" s="38" t="str">
        <f t="shared" si="21"/>
        <v/>
      </c>
      <c r="E143" s="74" t="str">
        <f t="shared" si="24"/>
        <v/>
      </c>
      <c r="F143" s="38" t="str">
        <f t="shared" si="22"/>
        <v/>
      </c>
      <c r="G143" s="74" t="str">
        <f t="shared" si="25"/>
        <v/>
      </c>
      <c r="H143" s="38" t="str">
        <f t="shared" si="23"/>
        <v/>
      </c>
      <c r="I143" s="74" t="str">
        <f t="shared" si="26"/>
        <v/>
      </c>
      <c r="J143" s="69"/>
      <c r="K143" s="70"/>
      <c r="L143" s="69"/>
      <c r="M143" s="70"/>
      <c r="N143" s="69"/>
      <c r="O143" s="70"/>
    </row>
    <row r="144" spans="1:15" s="32" customFormat="1" ht="21" hidden="1" customHeight="1">
      <c r="A144" s="59">
        <v>72</v>
      </c>
      <c r="B144" s="34"/>
      <c r="C144" s="37" t="str">
        <f t="shared" si="20"/>
        <v/>
      </c>
      <c r="D144" s="38" t="str">
        <f t="shared" si="21"/>
        <v/>
      </c>
      <c r="E144" s="74" t="str">
        <f t="shared" si="24"/>
        <v/>
      </c>
      <c r="F144" s="38" t="str">
        <f t="shared" si="22"/>
        <v/>
      </c>
      <c r="G144" s="74" t="str">
        <f t="shared" si="25"/>
        <v/>
      </c>
      <c r="H144" s="38" t="str">
        <f t="shared" si="23"/>
        <v/>
      </c>
      <c r="I144" s="74" t="str">
        <f t="shared" si="26"/>
        <v/>
      </c>
      <c r="J144" s="69"/>
      <c r="K144" s="70"/>
      <c r="L144" s="69"/>
      <c r="M144" s="70"/>
      <c r="N144" s="69"/>
      <c r="O144" s="70"/>
    </row>
    <row r="145" spans="1:15" s="32" customFormat="1" ht="21" hidden="1" customHeight="1">
      <c r="A145" s="59">
        <v>73</v>
      </c>
      <c r="B145" s="34"/>
      <c r="C145" s="37" t="str">
        <f t="shared" si="20"/>
        <v/>
      </c>
      <c r="D145" s="38" t="str">
        <f t="shared" si="21"/>
        <v/>
      </c>
      <c r="E145" s="74" t="str">
        <f t="shared" si="24"/>
        <v/>
      </c>
      <c r="F145" s="38" t="str">
        <f t="shared" si="22"/>
        <v/>
      </c>
      <c r="G145" s="74" t="str">
        <f t="shared" si="25"/>
        <v/>
      </c>
      <c r="H145" s="38" t="str">
        <f t="shared" si="23"/>
        <v/>
      </c>
      <c r="I145" s="74" t="str">
        <f t="shared" si="26"/>
        <v/>
      </c>
      <c r="J145" s="69"/>
      <c r="K145" s="70"/>
      <c r="L145" s="69"/>
      <c r="M145" s="70"/>
      <c r="N145" s="69"/>
      <c r="O145" s="70"/>
    </row>
    <row r="146" spans="1:15" s="32" customFormat="1" ht="21" hidden="1" customHeight="1">
      <c r="A146" s="59">
        <v>74</v>
      </c>
      <c r="B146" s="34"/>
      <c r="C146" s="37" t="str">
        <f t="shared" si="20"/>
        <v/>
      </c>
      <c r="D146" s="38" t="str">
        <f t="shared" si="21"/>
        <v/>
      </c>
      <c r="E146" s="74" t="str">
        <f t="shared" si="24"/>
        <v/>
      </c>
      <c r="F146" s="38" t="str">
        <f t="shared" si="22"/>
        <v/>
      </c>
      <c r="G146" s="74" t="str">
        <f t="shared" si="25"/>
        <v/>
      </c>
      <c r="H146" s="38" t="str">
        <f t="shared" si="23"/>
        <v/>
      </c>
      <c r="I146" s="74" t="str">
        <f t="shared" si="26"/>
        <v/>
      </c>
      <c r="J146" s="69"/>
      <c r="K146" s="70"/>
      <c r="L146" s="69"/>
      <c r="M146" s="70"/>
      <c r="N146" s="69"/>
      <c r="O146" s="70"/>
    </row>
    <row r="147" spans="1:15" s="32" customFormat="1" ht="21" hidden="1" customHeight="1">
      <c r="A147" s="59">
        <v>75</v>
      </c>
      <c r="B147" s="34"/>
      <c r="C147" s="37" t="str">
        <f t="shared" si="20"/>
        <v/>
      </c>
      <c r="D147" s="38" t="str">
        <f t="shared" si="21"/>
        <v/>
      </c>
      <c r="E147" s="74" t="str">
        <f t="shared" si="24"/>
        <v/>
      </c>
      <c r="F147" s="38" t="str">
        <f t="shared" si="22"/>
        <v/>
      </c>
      <c r="G147" s="74" t="str">
        <f t="shared" si="25"/>
        <v/>
      </c>
      <c r="H147" s="38" t="str">
        <f t="shared" si="23"/>
        <v/>
      </c>
      <c r="I147" s="74" t="str">
        <f t="shared" si="26"/>
        <v/>
      </c>
      <c r="J147" s="69"/>
      <c r="K147" s="70"/>
      <c r="L147" s="69"/>
      <c r="M147" s="70"/>
      <c r="N147" s="69"/>
      <c r="O147" s="70"/>
    </row>
    <row r="148" spans="1:15" s="32" customFormat="1" ht="21" hidden="1" customHeight="1">
      <c r="A148" s="59">
        <v>76</v>
      </c>
      <c r="B148" s="34"/>
      <c r="C148" s="37" t="str">
        <f t="shared" si="20"/>
        <v/>
      </c>
      <c r="D148" s="38" t="str">
        <f t="shared" si="21"/>
        <v/>
      </c>
      <c r="E148" s="74" t="str">
        <f t="shared" si="24"/>
        <v/>
      </c>
      <c r="F148" s="38" t="str">
        <f t="shared" si="22"/>
        <v/>
      </c>
      <c r="G148" s="74" t="str">
        <f t="shared" si="25"/>
        <v/>
      </c>
      <c r="H148" s="38" t="str">
        <f t="shared" si="23"/>
        <v/>
      </c>
      <c r="I148" s="74" t="str">
        <f t="shared" si="26"/>
        <v/>
      </c>
      <c r="J148" s="69"/>
      <c r="K148" s="70"/>
      <c r="L148" s="69"/>
      <c r="M148" s="70"/>
      <c r="N148" s="69"/>
      <c r="O148" s="70"/>
    </row>
    <row r="149" spans="1:15" s="32" customFormat="1" ht="21" hidden="1" customHeight="1">
      <c r="A149" s="59">
        <v>77</v>
      </c>
      <c r="B149" s="34"/>
      <c r="C149" s="37" t="str">
        <f t="shared" si="20"/>
        <v/>
      </c>
      <c r="D149" s="38" t="str">
        <f t="shared" si="21"/>
        <v/>
      </c>
      <c r="E149" s="74" t="str">
        <f t="shared" si="24"/>
        <v/>
      </c>
      <c r="F149" s="38" t="str">
        <f t="shared" si="22"/>
        <v/>
      </c>
      <c r="G149" s="74" t="str">
        <f t="shared" si="25"/>
        <v/>
      </c>
      <c r="H149" s="38" t="str">
        <f t="shared" si="23"/>
        <v/>
      </c>
      <c r="I149" s="74" t="str">
        <f t="shared" si="26"/>
        <v/>
      </c>
      <c r="J149" s="69"/>
      <c r="K149" s="70"/>
      <c r="L149" s="69"/>
      <c r="M149" s="70"/>
      <c r="N149" s="69"/>
      <c r="O149" s="70"/>
    </row>
    <row r="150" spans="1:15" s="32" customFormat="1" ht="21" hidden="1" customHeight="1">
      <c r="A150" s="59">
        <v>78</v>
      </c>
      <c r="B150" s="34"/>
      <c r="C150" s="37" t="str">
        <f t="shared" si="20"/>
        <v/>
      </c>
      <c r="D150" s="38" t="str">
        <f t="shared" si="21"/>
        <v/>
      </c>
      <c r="E150" s="74" t="str">
        <f t="shared" si="24"/>
        <v/>
      </c>
      <c r="F150" s="38" t="str">
        <f t="shared" si="22"/>
        <v/>
      </c>
      <c r="G150" s="74" t="str">
        <f t="shared" si="25"/>
        <v/>
      </c>
      <c r="H150" s="38" t="str">
        <f t="shared" si="23"/>
        <v/>
      </c>
      <c r="I150" s="74" t="str">
        <f t="shared" si="26"/>
        <v/>
      </c>
      <c r="J150" s="69"/>
      <c r="K150" s="70"/>
      <c r="L150" s="69"/>
      <c r="M150" s="70"/>
      <c r="N150" s="69"/>
      <c r="O150" s="70"/>
    </row>
    <row r="151" spans="1:15" s="32" customFormat="1" ht="21" hidden="1" customHeight="1">
      <c r="A151" s="59">
        <v>79</v>
      </c>
      <c r="B151" s="34"/>
      <c r="C151" s="37" t="str">
        <f t="shared" si="20"/>
        <v/>
      </c>
      <c r="D151" s="38" t="str">
        <f t="shared" si="21"/>
        <v/>
      </c>
      <c r="E151" s="74" t="str">
        <f t="shared" si="24"/>
        <v/>
      </c>
      <c r="F151" s="38" t="str">
        <f t="shared" si="22"/>
        <v/>
      </c>
      <c r="G151" s="74" t="str">
        <f t="shared" si="25"/>
        <v/>
      </c>
      <c r="H151" s="38" t="str">
        <f t="shared" si="23"/>
        <v/>
      </c>
      <c r="I151" s="74" t="str">
        <f t="shared" si="26"/>
        <v/>
      </c>
      <c r="J151" s="69"/>
      <c r="K151" s="70"/>
      <c r="L151" s="69"/>
      <c r="M151" s="70"/>
      <c r="N151" s="69"/>
      <c r="O151" s="70"/>
    </row>
    <row r="152" spans="1:15" s="32" customFormat="1" ht="21" hidden="1" customHeight="1">
      <c r="A152" s="59">
        <v>80</v>
      </c>
      <c r="B152" s="34"/>
      <c r="C152" s="37" t="str">
        <f t="shared" si="20"/>
        <v/>
      </c>
      <c r="D152" s="38" t="str">
        <f t="shared" si="21"/>
        <v/>
      </c>
      <c r="E152" s="74" t="str">
        <f t="shared" si="24"/>
        <v/>
      </c>
      <c r="F152" s="38" t="str">
        <f t="shared" si="22"/>
        <v/>
      </c>
      <c r="G152" s="74" t="str">
        <f t="shared" si="25"/>
        <v/>
      </c>
      <c r="H152" s="38" t="str">
        <f t="shared" si="23"/>
        <v/>
      </c>
      <c r="I152" s="74" t="str">
        <f t="shared" si="26"/>
        <v/>
      </c>
      <c r="J152" s="69"/>
      <c r="K152" s="70"/>
      <c r="L152" s="69"/>
      <c r="M152" s="70"/>
      <c r="N152" s="69"/>
      <c r="O152" s="70"/>
    </row>
    <row r="153" spans="1:15" s="32" customFormat="1" ht="21" hidden="1" customHeight="1">
      <c r="A153" s="59">
        <v>81</v>
      </c>
      <c r="B153" s="34"/>
      <c r="C153" s="37" t="str">
        <f t="shared" si="20"/>
        <v/>
      </c>
      <c r="D153" s="38" t="str">
        <f t="shared" si="21"/>
        <v/>
      </c>
      <c r="E153" s="74" t="str">
        <f t="shared" si="24"/>
        <v/>
      </c>
      <c r="F153" s="38" t="str">
        <f t="shared" si="22"/>
        <v/>
      </c>
      <c r="G153" s="74" t="str">
        <f t="shared" si="25"/>
        <v/>
      </c>
      <c r="H153" s="38" t="str">
        <f t="shared" si="23"/>
        <v/>
      </c>
      <c r="I153" s="74" t="str">
        <f t="shared" si="26"/>
        <v/>
      </c>
      <c r="J153" s="69"/>
      <c r="K153" s="70"/>
      <c r="L153" s="69"/>
      <c r="M153" s="70"/>
      <c r="N153" s="69"/>
      <c r="O153" s="70"/>
    </row>
    <row r="154" spans="1:15" s="32" customFormat="1" ht="21" hidden="1" customHeight="1">
      <c r="A154" s="59">
        <v>82</v>
      </c>
      <c r="B154" s="34"/>
      <c r="C154" s="37" t="str">
        <f t="shared" si="20"/>
        <v/>
      </c>
      <c r="D154" s="38" t="str">
        <f t="shared" si="21"/>
        <v/>
      </c>
      <c r="E154" s="74" t="str">
        <f t="shared" si="24"/>
        <v/>
      </c>
      <c r="F154" s="38" t="str">
        <f t="shared" si="22"/>
        <v/>
      </c>
      <c r="G154" s="74" t="str">
        <f t="shared" si="25"/>
        <v/>
      </c>
      <c r="H154" s="38" t="str">
        <f t="shared" si="23"/>
        <v/>
      </c>
      <c r="I154" s="74" t="str">
        <f t="shared" si="26"/>
        <v/>
      </c>
      <c r="J154" s="69"/>
      <c r="K154" s="70"/>
      <c r="L154" s="69"/>
      <c r="M154" s="70"/>
      <c r="N154" s="69"/>
      <c r="O154" s="70"/>
    </row>
    <row r="155" spans="1:15" s="32" customFormat="1" ht="21" hidden="1" customHeight="1">
      <c r="A155" s="59">
        <v>83</v>
      </c>
      <c r="B155" s="34"/>
      <c r="C155" s="37" t="str">
        <f t="shared" si="20"/>
        <v/>
      </c>
      <c r="D155" s="38" t="str">
        <f t="shared" si="21"/>
        <v/>
      </c>
      <c r="E155" s="74" t="str">
        <f t="shared" si="24"/>
        <v/>
      </c>
      <c r="F155" s="38" t="str">
        <f t="shared" si="22"/>
        <v/>
      </c>
      <c r="G155" s="74" t="str">
        <f t="shared" si="25"/>
        <v/>
      </c>
      <c r="H155" s="38" t="str">
        <f t="shared" si="23"/>
        <v/>
      </c>
      <c r="I155" s="74" t="str">
        <f t="shared" si="26"/>
        <v/>
      </c>
      <c r="J155" s="69"/>
      <c r="K155" s="70"/>
      <c r="L155" s="69"/>
      <c r="M155" s="70"/>
      <c r="N155" s="69"/>
      <c r="O155" s="70"/>
    </row>
    <row r="156" spans="1:15" s="32" customFormat="1" ht="21" hidden="1" customHeight="1">
      <c r="A156" s="59">
        <v>84</v>
      </c>
      <c r="B156" s="34"/>
      <c r="C156" s="37" t="str">
        <f t="shared" si="20"/>
        <v/>
      </c>
      <c r="D156" s="38" t="str">
        <f t="shared" si="21"/>
        <v/>
      </c>
      <c r="E156" s="74" t="str">
        <f t="shared" si="24"/>
        <v/>
      </c>
      <c r="F156" s="38" t="str">
        <f t="shared" si="22"/>
        <v/>
      </c>
      <c r="G156" s="74" t="str">
        <f t="shared" si="25"/>
        <v/>
      </c>
      <c r="H156" s="38" t="str">
        <f t="shared" si="23"/>
        <v/>
      </c>
      <c r="I156" s="74" t="str">
        <f t="shared" si="26"/>
        <v/>
      </c>
      <c r="J156" s="69"/>
      <c r="K156" s="70"/>
      <c r="L156" s="69"/>
      <c r="M156" s="70"/>
      <c r="N156" s="69"/>
      <c r="O156" s="70"/>
    </row>
    <row r="157" spans="1:15" s="32" customFormat="1" ht="21" hidden="1" customHeight="1">
      <c r="A157" s="59">
        <v>85</v>
      </c>
      <c r="B157" s="34"/>
      <c r="C157" s="37" t="str">
        <f t="shared" si="20"/>
        <v/>
      </c>
      <c r="D157" s="38" t="str">
        <f t="shared" si="21"/>
        <v/>
      </c>
      <c r="E157" s="74" t="str">
        <f t="shared" si="24"/>
        <v/>
      </c>
      <c r="F157" s="38" t="str">
        <f t="shared" si="22"/>
        <v/>
      </c>
      <c r="G157" s="74" t="str">
        <f t="shared" si="25"/>
        <v/>
      </c>
      <c r="H157" s="38" t="str">
        <f t="shared" si="23"/>
        <v/>
      </c>
      <c r="I157" s="74" t="str">
        <f t="shared" si="26"/>
        <v/>
      </c>
      <c r="J157" s="69"/>
      <c r="K157" s="70"/>
      <c r="L157" s="69"/>
      <c r="M157" s="70"/>
      <c r="N157" s="69"/>
      <c r="O157" s="70"/>
    </row>
    <row r="158" spans="1:15" s="32" customFormat="1" ht="21" hidden="1" customHeight="1">
      <c r="A158" s="59">
        <v>86</v>
      </c>
      <c r="B158" s="34"/>
      <c r="C158" s="37" t="str">
        <f t="shared" si="20"/>
        <v/>
      </c>
      <c r="D158" s="38" t="str">
        <f t="shared" si="21"/>
        <v/>
      </c>
      <c r="E158" s="74" t="str">
        <f t="shared" si="24"/>
        <v/>
      </c>
      <c r="F158" s="38" t="str">
        <f t="shared" si="22"/>
        <v/>
      </c>
      <c r="G158" s="74" t="str">
        <f t="shared" si="25"/>
        <v/>
      </c>
      <c r="H158" s="38" t="str">
        <f t="shared" si="23"/>
        <v/>
      </c>
      <c r="I158" s="74" t="str">
        <f t="shared" si="26"/>
        <v/>
      </c>
      <c r="J158" s="69"/>
      <c r="K158" s="70"/>
      <c r="L158" s="69"/>
      <c r="M158" s="70"/>
      <c r="N158" s="69"/>
      <c r="O158" s="70"/>
    </row>
    <row r="159" spans="1:15" s="32" customFormat="1" ht="21" hidden="1" customHeight="1">
      <c r="A159" s="59">
        <v>87</v>
      </c>
      <c r="B159" s="34"/>
      <c r="C159" s="37" t="str">
        <f t="shared" si="20"/>
        <v/>
      </c>
      <c r="D159" s="38" t="str">
        <f t="shared" si="21"/>
        <v/>
      </c>
      <c r="E159" s="74" t="str">
        <f t="shared" si="24"/>
        <v/>
      </c>
      <c r="F159" s="38" t="str">
        <f t="shared" si="22"/>
        <v/>
      </c>
      <c r="G159" s="74" t="str">
        <f t="shared" si="25"/>
        <v/>
      </c>
      <c r="H159" s="38" t="str">
        <f t="shared" si="23"/>
        <v/>
      </c>
      <c r="I159" s="74" t="str">
        <f t="shared" si="26"/>
        <v/>
      </c>
      <c r="J159" s="69"/>
      <c r="K159" s="70"/>
      <c r="L159" s="69"/>
      <c r="M159" s="70"/>
      <c r="N159" s="69"/>
      <c r="O159" s="70"/>
    </row>
    <row r="160" spans="1:15" s="32" customFormat="1" ht="21" hidden="1" customHeight="1">
      <c r="A160" s="59">
        <v>88</v>
      </c>
      <c r="B160" s="34"/>
      <c r="C160" s="37" t="str">
        <f t="shared" si="20"/>
        <v/>
      </c>
      <c r="D160" s="38" t="str">
        <f t="shared" si="21"/>
        <v/>
      </c>
      <c r="E160" s="74" t="str">
        <f t="shared" si="24"/>
        <v/>
      </c>
      <c r="F160" s="38" t="str">
        <f t="shared" si="22"/>
        <v/>
      </c>
      <c r="G160" s="74" t="str">
        <f t="shared" si="25"/>
        <v/>
      </c>
      <c r="H160" s="38" t="str">
        <f t="shared" si="23"/>
        <v/>
      </c>
      <c r="I160" s="74" t="str">
        <f t="shared" si="26"/>
        <v/>
      </c>
      <c r="J160" s="69"/>
      <c r="K160" s="70"/>
      <c r="L160" s="69"/>
      <c r="M160" s="70"/>
      <c r="N160" s="69"/>
      <c r="O160" s="70"/>
    </row>
    <row r="161" spans="1:15" s="32" customFormat="1" ht="21" hidden="1" customHeight="1">
      <c r="A161" s="59">
        <v>89</v>
      </c>
      <c r="B161" s="34"/>
      <c r="C161" s="37" t="str">
        <f t="shared" si="20"/>
        <v/>
      </c>
      <c r="D161" s="38" t="str">
        <f t="shared" si="21"/>
        <v/>
      </c>
      <c r="E161" s="74" t="str">
        <f t="shared" si="24"/>
        <v/>
      </c>
      <c r="F161" s="38" t="str">
        <f t="shared" si="22"/>
        <v/>
      </c>
      <c r="G161" s="74" t="str">
        <f t="shared" si="25"/>
        <v/>
      </c>
      <c r="H161" s="38" t="str">
        <f t="shared" si="23"/>
        <v/>
      </c>
      <c r="I161" s="74" t="str">
        <f t="shared" si="26"/>
        <v/>
      </c>
      <c r="J161" s="69"/>
      <c r="K161" s="70"/>
      <c r="L161" s="69"/>
      <c r="M161" s="70"/>
      <c r="N161" s="69"/>
      <c r="O161" s="70"/>
    </row>
    <row r="162" spans="1:15" s="32" customFormat="1" ht="21" hidden="1" customHeight="1">
      <c r="A162" s="59">
        <v>90</v>
      </c>
      <c r="B162" s="34"/>
      <c r="C162" s="37" t="str">
        <f t="shared" si="20"/>
        <v/>
      </c>
      <c r="D162" s="38" t="str">
        <f t="shared" si="21"/>
        <v/>
      </c>
      <c r="E162" s="74" t="str">
        <f t="shared" si="24"/>
        <v/>
      </c>
      <c r="F162" s="38" t="str">
        <f t="shared" si="22"/>
        <v/>
      </c>
      <c r="G162" s="74" t="str">
        <f t="shared" si="25"/>
        <v/>
      </c>
      <c r="H162" s="38" t="str">
        <f t="shared" si="23"/>
        <v/>
      </c>
      <c r="I162" s="74" t="str">
        <f t="shared" si="26"/>
        <v/>
      </c>
      <c r="J162" s="69"/>
      <c r="K162" s="70"/>
      <c r="L162" s="69"/>
      <c r="M162" s="70"/>
      <c r="N162" s="69"/>
      <c r="O162" s="70"/>
    </row>
    <row r="163" spans="1:15">
      <c r="J163" s="46"/>
      <c r="K163" s="46"/>
      <c r="L163" s="46"/>
      <c r="M163" s="46"/>
      <c r="N163" s="46"/>
      <c r="O163" s="46"/>
    </row>
    <row r="164" spans="1:15">
      <c r="J164" s="46"/>
      <c r="K164" s="46"/>
      <c r="L164" s="46"/>
      <c r="M164" s="46"/>
      <c r="N164" s="46"/>
      <c r="O164" s="46"/>
    </row>
  </sheetData>
  <sheetProtection algorithmName="SHA-512" hashValue="1Vi8g2vqObFM8wLdfgpiwI4JIryj3KFh6S+haANRXanZJiMCQj1tlxKX/QIzs22gmL4jSQA/Whpym9IsrxuSuQ==" saltValue="h7s+X7zdKRnH9HZg/alYaA==" spinCount="100000" sheet="1" formatColumns="0" formatRows="0"/>
  <mergeCells count="29">
    <mergeCell ref="B72:G72"/>
    <mergeCell ref="B10:C10"/>
    <mergeCell ref="B11:C11"/>
    <mergeCell ref="D11:E11"/>
    <mergeCell ref="F11:G11"/>
    <mergeCell ref="L3:N3"/>
    <mergeCell ref="L4:N5"/>
    <mergeCell ref="B7:B8"/>
    <mergeCell ref="H7:I7"/>
    <mergeCell ref="D10:E10"/>
    <mergeCell ref="F10:G10"/>
    <mergeCell ref="F9:G9"/>
    <mergeCell ref="H9:I9"/>
    <mergeCell ref="H10:I10"/>
    <mergeCell ref="B9:C9"/>
    <mergeCell ref="D9:E9"/>
    <mergeCell ref="B3:C3"/>
    <mergeCell ref="F5:G5"/>
    <mergeCell ref="F4:G4"/>
    <mergeCell ref="H4:I4"/>
    <mergeCell ref="H5:I5"/>
    <mergeCell ref="F3:I3"/>
    <mergeCell ref="B13:J13"/>
    <mergeCell ref="F8:G8"/>
    <mergeCell ref="F7:G7"/>
    <mergeCell ref="D8:E8"/>
    <mergeCell ref="D7:E7"/>
    <mergeCell ref="H8:I8"/>
    <mergeCell ref="H11:I11"/>
  </mergeCells>
  <printOptions horizontalCentered="1"/>
  <pageMargins left="0.39370078740157483" right="0.19685039370078741" top="0.39370078740157483" bottom="0.19685039370078741" header="0.31496062992125984" footer="0.31496062992125984"/>
  <pageSetup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24</vt:i4>
      </vt:variant>
    </vt:vector>
  </HeadingPairs>
  <TitlesOfParts>
    <vt:vector size="35" baseType="lpstr">
      <vt:lpstr>1_ENTREGA</vt:lpstr>
      <vt:lpstr>2_APERTURA DE SOBRES</vt:lpstr>
      <vt:lpstr>4,1. REQUISITOS JURÍDICOS</vt:lpstr>
      <vt:lpstr>4.2.1 EXPERIENCIA GRAL</vt:lpstr>
      <vt:lpstr>4.3 CAP FINANCIERA</vt:lpstr>
      <vt:lpstr>PRESUPUESTO</vt:lpstr>
      <vt:lpstr>4.4 REQUISITOS COMERCIALES</vt:lpstr>
      <vt:lpstr>RESUMEN</vt:lpstr>
      <vt:lpstr>Cálculo Pt2</vt:lpstr>
      <vt:lpstr>10. EVALUACIÓN</vt:lpstr>
      <vt:lpstr>5_REQUISITOS TÉCNICOS</vt:lpstr>
      <vt:lpstr>'1_ENTREGA'!Área_de_impresión</vt:lpstr>
      <vt:lpstr>'2_APERTURA DE SOBRES'!Área_de_impresión</vt:lpstr>
      <vt:lpstr>BANDERA</vt:lpstr>
      <vt:lpstr>C_FINANCIERA</vt:lpstr>
      <vt:lpstr>CD_1</vt:lpstr>
      <vt:lpstr>CD_2</vt:lpstr>
      <vt:lpstr>CD_3</vt:lpstr>
      <vt:lpstr>COSTO_D</vt:lpstr>
      <vt:lpstr>EST_EXP</vt:lpstr>
      <vt:lpstr>ESTATUS</vt:lpstr>
      <vt:lpstr>EXPERIENCIA</vt:lpstr>
      <vt:lpstr>ITEMS_REPRE</vt:lpstr>
      <vt:lpstr>LISTA_OFERENTES</vt:lpstr>
      <vt:lpstr>OFERENTE_1</vt:lpstr>
      <vt:lpstr>OFERENTE_2</vt:lpstr>
      <vt:lpstr>OFERENTE_3</vt:lpstr>
      <vt:lpstr>OFERTA_0</vt:lpstr>
      <vt:lpstr>ORDEN</vt:lpstr>
      <vt:lpstr>PRESUPUESTO</vt:lpstr>
      <vt:lpstr>R_COMERCIALES</vt:lpstr>
      <vt:lpstr>R_TECNICOS</vt:lpstr>
      <vt:lpstr>UNITARIO_1</vt:lpstr>
      <vt:lpstr>UNITARIO_2</vt:lpstr>
      <vt:lpstr>UNITARIO_3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dc:creator>
  <cp:lastModifiedBy>Angela.Lopera</cp:lastModifiedBy>
  <cp:lastPrinted>2020-02-17T17:11:17Z</cp:lastPrinted>
  <dcterms:created xsi:type="dcterms:W3CDTF">2013-08-04T21:27:49Z</dcterms:created>
  <dcterms:modified xsi:type="dcterms:W3CDTF">2020-03-10T13:12:52Z</dcterms:modified>
</cp:coreProperties>
</file>